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Overview" sheetId="1" r:id="rId1"/>
    <sheet name="FinancialData " sheetId="2" r:id="rId2"/>
    <sheet name="Procurement  (2)" sheetId="3" r:id="rId3"/>
    <sheet name="Risk Assesment" sheetId="4" r:id="rId4"/>
    <sheet name="Rating" sheetId="5" r:id="rId5"/>
    <sheet name="Project Indicators" sheetId="6" r:id="rId6"/>
    <sheet name="Lessons Learned" sheetId="7" r:id="rId7"/>
    <sheet name="AF Tracking Tool" sheetId="8" r:id="rId8"/>
    <sheet name="Units for Indicators" sheetId="9" r:id="rId9"/>
    <sheet name="Hoja1" sheetId="10" r:id="rId10"/>
  </sheets>
  <externalReferences>
    <externalReference r:id="rId13"/>
    <externalReference r:id="rId14"/>
  </externalReferences>
  <definedNames>
    <definedName name="ClasificadorNU">'[2]ClasificadorNU (No Tocar)'!$B$2:$B$332</definedName>
    <definedName name="Month">'[1]Dropdowns'!$G$2:$G$13</definedName>
    <definedName name="Year">'[1]Dropdowns'!$H$2:$H$36</definedName>
  </definedNames>
  <calcPr fullCalcOnLoad="1"/>
</workbook>
</file>

<file path=xl/sharedStrings.xml><?xml version="1.0" encoding="utf-8"?>
<sst xmlns="http://schemas.openxmlformats.org/spreadsheetml/2006/main" count="845" uniqueCount="628">
  <si>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</si>
  <si>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</si>
  <si>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</si>
  <si>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</si>
  <si>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</si>
  <si>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</si>
  <si>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</si>
  <si>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</si>
  <si>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</si>
  <si>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</si>
  <si>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</si>
  <si>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</si>
  <si>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</si>
  <si>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</si>
  <si>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</si>
  <si>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</si>
  <si>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</si>
  <si>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</si>
  <si>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</si>
  <si>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</si>
  <si>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</si>
  <si>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</si>
  <si>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</si>
  <si>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</si>
  <si>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</si>
  <si>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</si>
  <si>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</si>
  <si>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</si>
  <si>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</si>
  <si>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</si>
  <si>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</si>
  <si>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</si>
  <si>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</si>
  <si>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</si>
  <si>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</si>
  <si>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</si>
  <si>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</si>
  <si>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</si>
  <si>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</si>
  <si>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</si>
  <si>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</si>
  <si>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</si>
  <si>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</si>
  <si>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</si>
  <si>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</si>
  <si>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</si>
  <si>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</si>
  <si>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</si>
  <si>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</si>
  <si>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</si>
  <si>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</si>
  <si>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</si>
  <si>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</si>
  <si>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</si>
  <si>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</si>
  <si>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</si>
  <si>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</si>
  <si>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</si>
  <si>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</si>
  <si>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</si>
  <si>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</si>
  <si>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</si>
  <si>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</si>
  <si>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</si>
  <si>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</si>
  <si>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</si>
  <si>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</si>
  <si>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</si>
  <si>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</si>
  <si>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</si>
  <si>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</si>
  <si>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</si>
  <si>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</si>
  <si>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</si>
  <si>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</si>
  <si>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</si>
  <si>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</si>
  <si>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</si>
  <si>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</si>
  <si>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</si>
  <si>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</si>
  <si>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</si>
  <si>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</si>
  <si>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</si>
  <si>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</si>
  <si>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</si>
  <si>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</si>
  <si>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</si>
  <si>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</si>
  <si>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</si>
  <si>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</si>
  <si>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</si>
  <si>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</si>
  <si>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</si>
  <si>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</si>
  <si>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</si>
  <si>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</si>
  <si>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</si>
  <si>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</si>
  <si>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</si>
  <si>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</si>
  <si>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</si>
  <si>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</si>
  <si>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</si>
  <si>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</si>
  <si>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</si>
  <si>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</si>
  <si>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</si>
  <si>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</si>
  <si>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</si>
  <si>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</si>
  <si>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</si>
  <si>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</si>
  <si>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</si>
  <si>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</si>
  <si>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</si>
  <si>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</si>
  <si>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</si>
  <si>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</si>
  <si>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</si>
  <si>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</si>
  <si>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</si>
  <si>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</si>
  <si>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</si>
  <si>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</si>
  <si>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</si>
  <si>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</si>
  <si>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</si>
  <si>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</si>
  <si>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</si>
  <si>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</si>
  <si>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</si>
  <si>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</si>
  <si>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</si>
  <si>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</si>
  <si>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</si>
  <si>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</si>
  <si>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</si>
  <si>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</si>
  <si>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</si>
  <si>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</si>
  <si>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</si>
  <si>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</si>
  <si>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</si>
  <si>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</si>
  <si>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</si>
  <si>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</si>
  <si>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</si>
  <si>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</si>
  <si>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</si>
  <si>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</si>
  <si>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</si>
  <si>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</si>
  <si>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</si>
  <si>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</si>
  <si>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</si>
  <si>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</si>
  <si>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</si>
  <si>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</si>
  <si>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</si>
  <si>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</si>
  <si>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</si>
  <si>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</si>
  <si>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</si>
  <si>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</si>
  <si>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</si>
  <si>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</si>
  <si>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</si>
  <si>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</si>
  <si>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</si>
  <si>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</si>
  <si>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</si>
  <si>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</si>
  <si>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</si>
  <si>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</si>
  <si>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</si>
  <si>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</si>
  <si>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</si>
  <si>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</si>
  <si>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</si>
  <si>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</si>
  <si>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</si>
  <si>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</si>
  <si>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</si>
  <si>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</si>
  <si>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</si>
  <si>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</si>
  <si>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</si>
  <si>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</si>
  <si>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</si>
  <si>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</si>
  <si>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</si>
  <si>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</si>
  <si>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</si>
  <si>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</si>
  <si>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</si>
  <si>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</si>
  <si>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</si>
  <si>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</si>
  <si>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</si>
  <si>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</si>
  <si>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</si>
  <si>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</si>
  <si>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</si>
  <si>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</si>
  <si>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</si>
  <si>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</si>
  <si>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</si>
  <si>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</si>
  <si>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</si>
  <si>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</si>
  <si>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</si>
  <si>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</si>
  <si>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</si>
  <si>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</si>
  <si>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</si>
  <si>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</si>
  <si>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</si>
  <si>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</si>
  <si>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</si>
  <si>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</si>
  <si>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AMOUNT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</si>
  <si>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</si>
  <si>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</si>
  <si>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</si>
  <si>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</si>
  <si>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</si>
  <si>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</si>
  <si>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</si>
  <si>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</si>
  <si>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</si>
  <si>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</si>
  <si>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</si>
  <si>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</si>
  <si>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</si>
  <si>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</si>
  <si>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</si>
  <si>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</si>
  <si>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</si>
  <si>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Signature Date</t>
  </si>
  <si>
    <t>Agency / Contracted party</t>
  </si>
  <si>
    <t>Contract Type</t>
  </si>
  <si>
    <t>BIDS</t>
  </si>
  <si>
    <t>CONTRACT</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</si>
  <si>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</si>
  <si>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</si>
  <si>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</si>
  <si>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</si>
  <si>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</si>
  <si>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</si>
  <si>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</si>
  <si>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</si>
  <si>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</si>
  <si>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</si>
  <si>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</si>
  <si>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</si>
  <si>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</si>
  <si>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</si>
  <si>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</si>
  <si>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</si>
  <si>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</si>
  <si>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</si>
  <si>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</si>
  <si>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</si>
  <si>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</si>
  <si>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</si>
  <si>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</si>
  <si>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OBJECTIVE 2</t>
  </si>
  <si>
    <t xml:space="preserve">Target at CEO Endorsement </t>
  </si>
  <si>
    <t>Baseline</t>
  </si>
  <si>
    <t>OBJECTIVE 3</t>
  </si>
  <si>
    <t>OBJECTIVE 4</t>
  </si>
  <si>
    <t>Project Performance Report (PPR)</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</si>
  <si>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</si>
  <si>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</si>
  <si>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</si>
  <si>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</si>
  <si>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</si>
  <si>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</si>
  <si>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</si>
  <si>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</si>
  <si>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</si>
  <si>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</si>
  <si>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</si>
  <si>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</si>
  <si>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</si>
  <si>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</si>
  <si>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</si>
  <si>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</si>
  <si>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</si>
  <si>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</si>
  <si>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</si>
  <si>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</si>
  <si>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</si>
  <si>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</si>
  <si>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</si>
  <si>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</si>
  <si>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</si>
  <si>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</si>
  <si>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</si>
  <si>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</si>
  <si>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Climate Resilent Measures</t>
  </si>
  <si>
    <t>Please Describe the Climate Resilent measures being undertaken by  the project/programme.</t>
  </si>
  <si>
    <t>Which of these masures has been most effective and why?</t>
  </si>
  <si>
    <t>Which have been least effective and why?</t>
  </si>
  <si>
    <t>Concrete Adaptaiton Interventions</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</si>
  <si>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</si>
  <si>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</si>
  <si>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</si>
  <si>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</si>
  <si>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</si>
  <si>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</si>
  <si>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</si>
  <si>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</si>
  <si>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</si>
  <si>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</si>
  <si>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</si>
  <si>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</si>
  <si>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</si>
  <si>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</si>
  <si>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</si>
  <si>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</si>
  <si>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</si>
  <si>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</si>
  <si>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</si>
  <si>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</si>
  <si>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</si>
  <si>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</si>
  <si>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</si>
  <si>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Please Provide the Name and Contact information of person(s) reponsible for completeling the Rating section</t>
  </si>
  <si>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</si>
  <si>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</si>
  <si>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</si>
  <si>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</si>
  <si>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</si>
  <si>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</si>
  <si>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</si>
  <si>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Reduction of Risks and Vulnerability Based on Flooding and Droughts in the Estero Real River Watershed.</t>
  </si>
  <si>
    <t>United Nations Development Program</t>
  </si>
  <si>
    <t xml:space="preserve">Multilateral </t>
  </si>
  <si>
    <t>March, 2011</t>
  </si>
  <si>
    <t>December, 2010</t>
  </si>
  <si>
    <t>Denis Fuentes</t>
  </si>
  <si>
    <t>dfuentes@marena.gob.ni</t>
  </si>
  <si>
    <t>Maria Fernanda Sanchez</t>
  </si>
  <si>
    <t>fernanda.sanchez@undp.org</t>
  </si>
  <si>
    <t>March, 2015</t>
  </si>
  <si>
    <t>Watershed of the Estero Real River, sub watershed of Villanueva River.</t>
  </si>
  <si>
    <t>67.55 has</t>
  </si>
  <si>
    <t xml:space="preserve">PROJECTED COST Julio </t>
  </si>
  <si>
    <t xml:space="preserve"> </t>
  </si>
  <si>
    <t>Luis Humberto Picado</t>
  </si>
  <si>
    <t>Consultancy Contract (Individual Contract)</t>
  </si>
  <si>
    <t xml:space="preserve">Submitted Bids   </t>
  </si>
  <si>
    <t xml:space="preserve">Winning Bid    </t>
  </si>
  <si>
    <t>PIMS # 4448</t>
  </si>
  <si>
    <t>Amount</t>
  </si>
  <si>
    <t>Justification</t>
  </si>
  <si>
    <t xml:space="preserve">Expected Progress </t>
  </si>
  <si>
    <t>Paola Vanessa Vigil Rodriguez</t>
  </si>
  <si>
    <t>Please provide information for all contracts over $2,500 USD</t>
  </si>
  <si>
    <t>Please provide the number of  contracts under $2,500, signed during this reporting period:</t>
  </si>
  <si>
    <t>1. Investments in infrastructure for storing and using rain and surface water in eight micro-watersheds in the upper watershed of the Estero Real River.</t>
  </si>
  <si>
    <t>DANIEL URBINA GUTIERREZ</t>
  </si>
  <si>
    <t>DANIEL SANTOS ROJAS ROMERO</t>
  </si>
  <si>
    <t>GUADALUPE ROQUE</t>
  </si>
  <si>
    <t>Edwin Alberto Morales Reyes</t>
  </si>
  <si>
    <t>Leopoldo Blanco Arostegui</t>
  </si>
  <si>
    <t>Mayela Solórzano García</t>
  </si>
  <si>
    <t>MARLON TREMINIO ACOSTA</t>
  </si>
  <si>
    <t>JUAN CARLOS SANDOVAL</t>
  </si>
  <si>
    <t>ALEXANDER JAVIER CHEVEZ CHEVEZ</t>
  </si>
  <si>
    <t>GUADALUPE ROQUE RAMIREZ</t>
  </si>
  <si>
    <t>2. Introduction of climate resilient agro-ecological practices to make effective use of available water.</t>
  </si>
  <si>
    <t>Carlos Eduardo Salinas Espinoza</t>
  </si>
  <si>
    <t>Oscar Ricardo Lezama</t>
  </si>
  <si>
    <t>Augusto Cesar Valle Fonseca</t>
  </si>
  <si>
    <t>Franklyn Aliett Zapata Quiñonez</t>
  </si>
  <si>
    <t xml:space="preserve"> Hector Ariel Moreno Martinez</t>
  </si>
  <si>
    <t>Juan Ramon Martinez Palacios</t>
  </si>
  <si>
    <t>Delio Ariel Calderon Reyes</t>
  </si>
  <si>
    <t>Darlyn Perez Garcia</t>
  </si>
  <si>
    <t>Pedro Antonio Soza Martinez</t>
  </si>
  <si>
    <t xml:space="preserve">Purchase of Seeds from basic grains, legumes, improved grasses and Californian worms </t>
  </si>
  <si>
    <t>Pedro Antonio Velázquez López</t>
  </si>
  <si>
    <t>Exequiel Ramírez</t>
  </si>
  <si>
    <t>3. Training and capacity development in micro-watersheds, municipalities and participating national institutions.</t>
  </si>
  <si>
    <t>4. Ongoing monitoring and analysis of climatic conditions and changes in land use, water flows and soil quality</t>
  </si>
  <si>
    <t>Iris Roda Galeano</t>
  </si>
  <si>
    <t>PUBLICER</t>
  </si>
  <si>
    <t>DOMINGO ANTONIO LANUZA JIRON</t>
  </si>
  <si>
    <t>CIRA-UNAN</t>
  </si>
  <si>
    <t>Project Execution</t>
  </si>
  <si>
    <t xml:space="preserve">Purchase of 3 PCs and software licenses. </t>
  </si>
  <si>
    <t>For the best economic offer and for meeting the technical specifications.</t>
  </si>
  <si>
    <t>ONLY OFFER</t>
  </si>
  <si>
    <t>Partial awarding, for the best economic offer and for meeting the technical specifications.</t>
  </si>
  <si>
    <t>Awarded to AGROMESA, at the moment of notification to Proveedor Esperanza COOP, the product was not available.</t>
  </si>
  <si>
    <t>Awarded to UCOSEM, at the moment of notification to Coop Multisectorial, the product was not available.</t>
  </si>
  <si>
    <t>The award was partially made, taking in consideration the unit price of each item. In the same line, it was evaluated the availability and immediate delivery of seeds, given the times required and programming for the dry season.</t>
  </si>
  <si>
    <t xml:space="preserve">Purchase of 2200 rolls of barbed wire and 44 QQ of staples for the protection of agroforestry, silvopastoral and forestry production systems, and patios. </t>
  </si>
  <si>
    <t>Partially awarded. For the best economic offer and for meeting the technical specifications.</t>
  </si>
  <si>
    <t>For meeting the technical specifications.</t>
  </si>
  <si>
    <t>lpicado14@yahoo.com</t>
  </si>
  <si>
    <t>Total Outcome 4</t>
  </si>
  <si>
    <t>4.2 Ongoing participatory monitoring of water flows and quality, soil conditions, and land use changes.</t>
  </si>
  <si>
    <t>Total Outcome 3</t>
  </si>
  <si>
    <t>3.1 Local organiztions in eight micro-watersheds prepare and implement climate resilient management plans to increase water retention, soil conservation and food security.</t>
  </si>
  <si>
    <t>3. Institutional development and capacity building in micro-watersheds, municipalities, and participating national institutions</t>
  </si>
  <si>
    <t>Total Outcome 2</t>
  </si>
  <si>
    <t>2.3 At least 50 protected hectares in water system recharge areas and riparian zones in each micro-watershed.</t>
  </si>
  <si>
    <t>2.2 At least 140 hectares converted to water-conscious and climate resilient agro-ecological production in each micro-watershed.</t>
  </si>
  <si>
    <t>Total Outcome 1</t>
  </si>
  <si>
    <t>1.3 At least 1000 farm families organized and trained in management, efficient use and maintenance of their communal and inidvidual irrigation systems and water storage facilities.</t>
  </si>
  <si>
    <t>OUTPUT</t>
  </si>
  <si>
    <t>ITEM / ACTIVITY / ACTION/ OUTCOME</t>
  </si>
  <si>
    <t>ITEM / ACTIVITY / ACTION/OUTCOME</t>
  </si>
  <si>
    <t>Financial information:  cumulative from project start to June 2014</t>
  </si>
  <si>
    <t>lpicado2014@yahoo.com</t>
  </si>
  <si>
    <t>Teresita Sequeira</t>
  </si>
  <si>
    <t>tsequeira@marena.gob.ni</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</si>
  <si>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</si>
  <si>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SC</t>
  </si>
  <si>
    <t>EDGARD CALDERON ZELAYA</t>
  </si>
  <si>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7. 1.</t>
    </r>
    <r>
      <rPr>
        <sz val="10"/>
        <color indexed="8"/>
        <rFont val="Microsoft Sans Serif"/>
        <family val="2"/>
      </rPr>
      <t xml:space="preserve"> Climate change priorities are integrated into national development strategy</t>
    </r>
  </si>
  <si>
    <t xml:space="preserve">Purchase of hardware materials for the construction of 246 infrastructures for chicken coops and pigpens in 8 micro-watersheds of the municipalities of Villanueva and El Sauce                            </t>
  </si>
  <si>
    <r>
      <t>Purchase of hardware store materials for the construction of 212 improved stoves in the municipalities of Achuapa, Villanueva and El Sauce</t>
    </r>
    <r>
      <rPr>
        <sz val="12"/>
        <rFont val="Times New Roman"/>
        <family val="1"/>
      </rPr>
      <t>.</t>
    </r>
  </si>
  <si>
    <t>Purchase of hardware store materials (1200 rolls of barbed wire and 24 QQ staples) for the protection of the adaptive systems and the patios identified in the agro-ecological transformation plans for farms in the program's targeted micro-watersheds for the municipalities of El Sauce, Achuapa and Villanueva</t>
  </si>
  <si>
    <t>Purchase of basic grain seed (50 corn, 50 cwt beans) 20 cwt legumes, 500 kg improved grasses to implement the agro-ecological transformation plans in farms of the program's targeted micro-watersheds</t>
  </si>
  <si>
    <t>Purchase of six sets of tires (24 tires) for vehicles and six sets of tires (12 tires) for motorcycles belonging to the Program</t>
  </si>
  <si>
    <t>Purchase twenty-five raincoats, forty-eight pairs of boots and 400 vests for environmental brigades</t>
  </si>
  <si>
    <t>Purchase of 12 binoculars to be used in management plans.</t>
  </si>
  <si>
    <t>Purchase of three (3) external hard drives and 1 color printer for the North Pacific Regional Node (SINIA)</t>
  </si>
  <si>
    <t>Purchase of 14 Kits to measure water quality in the program's eight targeted micro-watersheds.</t>
  </si>
  <si>
    <t>Purchase of five 24"x36" whiteboards for the territorial delegations of Leon and Chinandega and five flipcharts for the environmental education campaigns.</t>
  </si>
  <si>
    <t>Purchase of 18 backpacks for the technicians of the Climate Change and Water Resources Departments and the territorial delegations of Leon and Chinandega.</t>
  </si>
  <si>
    <t>Purchase of fuel to comply with the program's actions.</t>
  </si>
  <si>
    <t>Provision of cleaning supplies for the Program's office in the Municipality of El Sauce.</t>
  </si>
  <si>
    <t>Purchase of various cafeteria products.</t>
  </si>
  <si>
    <t>Purchase of stationery for the program's use in the offices of El Sauce and Marena Central.</t>
  </si>
  <si>
    <t>Purchase of fuel for program's follow-up actions in the administrative processes.</t>
  </si>
  <si>
    <t>Limited access to credit can limit the adoption of new technologies.</t>
  </si>
  <si>
    <t>Key national and municipal stakeholders do not agree on a watershed adaptation strategy.</t>
  </si>
  <si>
    <t xml:space="preserve">Project actions /activities planned for the current reporting period are progressing on track to meet most of its major outcomes / outputs with only minor shortcomings.                               </t>
  </si>
  <si>
    <t>Project actions / activites planned for the current reporting period are progressing on track to achieve most major relevant outcomes / outputs, but with either significant shortcomings o modest overall relevance.</t>
  </si>
  <si>
    <t xml:space="preserve">Project actions / activities for the current reporting period are not progressing on track to achieve major outcomes / outputs with major shortcomings or are expected to achieve only some of its major outcomes / outputs. </t>
  </si>
  <si>
    <t>Project actions / activities planned for the current reporting period are not on track and show that they are failing to achieve, and are not expected to achieve, any of their outcomes / outputs.</t>
  </si>
  <si>
    <t>To date, the communities of the municipalities of Villanueva, El Sauce and Achuapa do not have access to the irrigation systems.                                  .</t>
  </si>
  <si>
    <t xml:space="preserve">9 targeted municipalities have included climate change adaptation measures in their development plans                                                      </t>
  </si>
  <si>
    <t>Purchase of hardware store materials for the construction of 300 water collection and storage facilities in the micro-watersheds of the municipalities of El Sauce, Achuapa and Villanueva.</t>
  </si>
  <si>
    <t>Purchase of sand, gravel and brick for the construction of 300 water collection and storage facilities.</t>
  </si>
  <si>
    <t>Purchase two SUVs for use by the Estero Real Program.</t>
  </si>
  <si>
    <t>Purchase of 10,000 fodder plants (cratylia, Marango), 4,892 native fruit trees, 10,000 grafted plants, 7,500 forest plants, 500 musaceae corms to implement the agro-ecological transformation plans in the farms of the program's targeted micro-watersheds.</t>
  </si>
  <si>
    <t>Purchase of hardware store materials for the construction of chicken coops and pigpens in the program's targeted municipalities.</t>
  </si>
  <si>
    <t>Purchase of 150 tons of pasture grass (Marafalfa 50 tons, King Grass 50 tons and Cane 50 tons)</t>
  </si>
  <si>
    <t>Purchase of two-way radio</t>
  </si>
  <si>
    <t>Purchase of two-way radios for the early warning system of the forest and agricultural fire prevention and control campaign of the Estero Real River watershed.</t>
  </si>
  <si>
    <t>Purchase of one photocopier, one scanner and one printer</t>
  </si>
  <si>
    <t>Purchase of binders for expenditure vouchers, calculators with register tape and screen, purchase of toner,  small office equipment, stationery for admininstrative purposes</t>
  </si>
  <si>
    <t>Purchase of office materials and supplies for Program implementation</t>
  </si>
  <si>
    <t>Purchase of cartridges and toners for program's printers and copiers and computer accesories.</t>
  </si>
  <si>
    <t>Purchase of three car batteries for program's SUVs</t>
  </si>
  <si>
    <t>3. A total of 1005 families have benefitted from the delivery of construction materials for 758 improved stoves, 721 chicken coops and 331 pigpens:  
In the Municipality of Achuapa: 285 improved stoves, 260 chicker coops and 110 pigpens, benefitting 375 families.
In the Municipality of El Sauce: 251 improved stoves, 246 chicken coops and 98 pigpens, benefitting a total of 350 families.
In the Municipality of Villanueva: 222 improved stoves, 215 chicker coops and 123 pigpens, benefitting a total of 280 families.</t>
  </si>
  <si>
    <r>
      <t xml:space="preserve">The program is developing an organizational and functional strengthening process of 8 micro-watershed committees already formed, incorporating national and local actors to work in the Estero Real River watershed, between MARENA-INTA, MARENA-ANA, MARENA-UNAN-Leon- MARENA - MAGFOR - INTA AND MARENA - Municipalities of El Sauce, Achuapa and Villanueva.                            
The formulation process was started for five (5) Municipal Climate Change Adaptation Plans in the municipalities of Chinandega, El Viejo, Puerto Morazan and Somotillo in the Department of Chinandega and in Larreynaga-Malpaisillo in the Department of Leon, with suppport from government institutions such as the Ministry of Health (MINSA), Ministry of Education ((MED), National Police, Nicaraguan Institute of Agricultural Technology (INTA), Ministry of Agriculture and Forestry (MAGFOR), Ministry of the Family, as well as the Guardabarranco Young Environmentalist Movement and </t>
    </r>
    <r>
      <rPr>
        <i/>
        <sz val="11"/>
        <color indexed="56"/>
        <rFont val="Times New Roman"/>
        <family val="1"/>
      </rPr>
      <t>Poder Ciudadano,</t>
    </r>
    <r>
      <rPr>
        <sz val="11"/>
        <color indexed="56"/>
        <rFont val="Times New Roman"/>
        <family val="1"/>
      </rPr>
      <t xml:space="preserve"> through the implementation of 2 participatory workshops.                          </t>
    </r>
  </si>
  <si>
    <t>Natural events delay the program's implementation.</t>
  </si>
  <si>
    <t>Technical support hired responsible for the implementation of the electronic information posts and their technical strengthening.</t>
  </si>
  <si>
    <t xml:space="preserve">To start the hydrological study of the Villanueva River watershed and guarantee technical support for the application of electronic information messages. </t>
  </si>
  <si>
    <t>Project actions/activities planned for the current reporting period are progressing on track or exceeding expectations to achieve all major outcomes/outputs for given reporting period, without major shortcomings. The project can be presented as a "best practice".                                .</t>
  </si>
  <si>
    <t xml:space="preserve">Project actions / activities planned for the current reporting period are not progressing on track to achieve most of its major outcomes / outputs.   </t>
  </si>
  <si>
    <t xml:space="preserve">80% of the families implementing agro-ecological transformation plans in each of the program's targeted micro-watersheds. </t>
  </si>
  <si>
    <t xml:space="preserve">In Nicaragua, the municipalities are not mainstreaming climate change adaptation into their development plans (Zero Municipalities) </t>
  </si>
  <si>
    <t xml:space="preserve">8 electronic information posts installed in each micro-watershed in order to provide georeferenced information                                       </t>
  </si>
  <si>
    <t xml:space="preserve">
Lack of infrastructure per micro-watershed to register and disclose climate related data. </t>
  </si>
  <si>
    <t xml:space="preserve">Operating Guidelines for the Reduction of Risks and Vulnerabilities Based on Flooding and Droughts in the Estero Real River Watershed Program; Methodological Guide for the Formulation of Agro-ecological Farm Transformation Plans; Monthly Follow-up Reports (Government); Quarterly Reports (UNPD); Management Report Year 2011, 2012, 2013, and first semester of 2014 (Government), 08 News Bulletins: 2011 (1); 2012 (3) and 2013 (4); Demarcation Study of Riparian Zones and Water Recharge Areas, three Municipal Climate Change Adaptation Plans, Study of risks of flooding in the Villanueva urban area and adjacent towns, Hydrological Study of the upper, middle and lower sub-watershed of the Villanueva River, Estero Real Program Website, 8 Riparian Zone signs; 08 signs for the Salale and Las Mercedes Irrigation Systems, 200 forest area protection signs, 900 decals to inform about the rainwater collection works in the program's 8 targeted micro-watersheds, maps of the 8 mentioned watersheds regarding soil use change, monitoring hot points, risk analysis, irrigation systems, investment system, database on the gender situation in the eight micro-watersheds, mapping of local stakeholders in the eight micro-watersheds.                                          </t>
  </si>
  <si>
    <t>Purchase of an AC Split 30,000 BTU for the Ministry's Planning Department.</t>
  </si>
  <si>
    <t>Purchase of two PA sound equipments for the territorial delegations of Leon and Chinandega.</t>
  </si>
  <si>
    <t>Purchase of hand tools (machetes, files, shovels, rakes, pulaski, canteens) for environmental brigades.</t>
  </si>
  <si>
    <t>Purchase of 33 rain gauges and 8 pinwheels to measure the water volume in the eight micro-watersheds of the three targeted municipalities of El Sauce, Achuapa and Villanueva.</t>
  </si>
  <si>
    <t>Purchase of 12 GPS for the Climate Change and Water Resources Departments and territorial delegations of Leon and Chinandega.</t>
  </si>
  <si>
    <t>Purchase of two photographic cameras</t>
  </si>
  <si>
    <t xml:space="preserve">To mitigate the effect regarding the limited access to credit and that this might limit adopting new technologies, the project has been promoting adaptive productive systems which allow promoting productive ecologically sound technologies and increasing production and productive diversity.                                        
The adaptive productive systems take into account the comparative advantages of their farms and a natural resource protection approach promoting production at a greater scale for internal consumption (national market). To achieve this objective, the program has facilitated production means, technical assistance, and training in order to assist the families in overcoming poverty and restoring their productive potential. Additionally, these systems allow to better face climate change and its consequences. In the period 2012 to 2014, in order to face this risk in the the Villanueva River sub-watershed, 1,005 families have benefitted from this in 29 rural communities of eight (8) priority micro-watershed in the municipalities of Achuapa, El Sauce and Villanueva, where the water resouce has been managed more effectively and adaptive productive systems have been established to face climate change, guaranteeing food security, improving their quality of life and their income. To achieve this, the following has been carried out:                                   </t>
  </si>
  <si>
    <t xml:space="preserve">1.  Construction of two communal irrigation systems in Las Mercedes and Salale in the municipality of El Sauce, benefitting 149 families, guaranteeing at least one harvest a year.  Las Mercedes  irrigation system has 47 families producing in a 90 ha area, and 17 families in Salale farming in 14.17 ha planting corn, pipian, beans, citrics, yuca, and plantain; in the case of corn and beans, both systems produce between 16-18 cwt/ha.                          
Coordination has been strengthened with INTA, MAGFOR, and MEFCA in order to provide technical assistance and guarantee the sustainability of the actions driven by the program. 
</t>
  </si>
  <si>
    <t xml:space="preserve">2.  A total of 1005 Agro-ecological Farm Transformation Plans have been implemented, benefitting an equal number of families. During the period 2012 to June 2014, the program helped 1005 families with the environmental restoration of 2,235 ha in agroforestry and silvopastoral systems by delivering supplies and plants in the municipalities of Achuapa (4,071 rolls of wire, 8,142 lbs of staples, 68,229 plants, including forest plants, native fruit trees, grafts, and fodder and 186 bins of worms), El Sauce (3,652 rolls of wire, 7,304 lbs of staples, 74,794 plants including forest plants, native fruit trees, grafts, and fodder and 147 bins of worms), and Villanueva (3,063 rolls of wire, 6,126 lbs of staples, 55, 546 plants including forest plants, native fruit trees, grafts, and fodder and 160 bins of worms) and sustainable forest management of 2,078 ha through direct planting of forest seeds in water recharge areas and riparian zones. The agro-ecological farm transformation plans have allowed families to have a strategic vision of the integral management and development of their farm. Implementation can be verified through technical assistance supervision sheets, delivery certificates, and location maps done through georeferencing.                    </t>
  </si>
  <si>
    <t xml:space="preserve">In regard to strengthening the Micro-watershed Committees in Villanueva, two community meetings were held in 2014 to explain how they should be formed; their roles, duties, and rights, based on Law 620, Art. 35, chapter IV. The following topics were also addressed: General aspects of the new Water Administration System, Water Use Rights, National Public Registry of Water Rights, Watershed Entities and Integrated Water Resources Management.   
</t>
  </si>
  <si>
    <t xml:space="preserve">During the period 2013-2014, the drought caused by El Niño, which lasted approximately 10 months, was faced by the efficient use of water in the adaptive productive systems, however, a 40% loss was recorded due to fires where trees, fruit trees, and fodder had been planted in the spring. This phenomenon also caused delay in planting improved pastures which reduced productivity. Likewise, the direct planting of forest seed was postponed to later in the season which could result in reduced yield due to forest fires in the next dry or summer season.                              </t>
  </si>
  <si>
    <t xml:space="preserve">The three municipal climate change adaptation plans for Achuapa, El Sauce and Villanueva were disclosed.  
In 2014, plans are in process of formulation for Chinandega, El Viejo, Puerto Morazan Somotillo in the department of Chinandega and Larreynaga-Malpaisillo in the Department of Leon. To date, two workshops have been held with the municipality of Puerto Morazan - Chinandega with 50 participants: 31 men, of which 11 are young men, and 19  women, of which 5 are young women.                        
</t>
  </si>
  <si>
    <t xml:space="preserve">Technicians of the electronic information posts in the eight micro-watersheds of the municipalities of El Sauce, Achuapa and Villanueva received training through workshops on the use of GPS and ARGIS to monitor climate conditions, precipitation, soil, environmental indicators, water availability, and updating the farm plans' adaptive productive areas, georeferences of the water structures, and natural forest regeneration.                                                    </t>
  </si>
  <si>
    <t xml:space="preserve">MARENA,  through three and a half years of program implementation, has had substantial progress through the two big communal irrigation systems benefitting 117 families of the Salale and Las Mercedes micro-watersheds, reaching an irrigation capacity of 164.5 ha in the summer, which has guaranteed food security and improvement in their quality of life and family income.  A total of 2,078 ha  of  riparian zones and water recharge forest areas have been protected thus guaranteeing their sustainable management.                                     
A total of 1005 agro-ecological farm transformation plans have been formulated with an equal number of families in the programs's targeted area in the municipalities of Achuapa and El Sauce in the department of Leon and Villanueva in the department of Chinandega. This instrument made possible fixing the farms of the program's beneficiary families; patio structures were also implemented (improved stoves, chicken coops and pigpens).                    
The three Municipal Climate Change Adaptation Plans have been published to be implemented in the municipalities of Achuapa, El Sauce and Villanueva.  Plan formulation is in the process for Chinandega, El Viejo, Puerto Morazon Somotillo in the department of Chinandega and Larreynaga - Malpaisillo in the department of Leon, through coordination with INIFOM to involve the municipal governments.                          
The hydrological study for the upper, middle, and lower sub-watersheds of the Villanueva River was completed, which will allow local and community governments to know the critical points and future climate scenarios, as well as mitigation and environmental restoration measures. All this process became operational in the framework of a collaboration agreement between the Mininstry of the Environment and Natural Resources and the Nicaraguan Institute of Territorial Studies. Eight program news bulletins were published on the MARENA website.           
Eight micro-watershed committees have been formed with ANA, UAM, UMAs from the three municipalities, which are duly registered in the National Property Registry of Water Rights (RPNDA), and are legally constituted to start operations of our competence at the Water Resources. 
Mapping and georeferencing data has been generated as well as maps of the farms with agro-ecological transformation plans in the eight micro-watersheds showing a positive change in land use; land with greater forest coverage. 
The program has achieved considerable progress in executing all of its components, in coordination with municipal governments, government institutions, the cabinet for community, health and life, NGOs and the active participation of the program's beneficiaries. </t>
  </si>
  <si>
    <t xml:space="preserve">Three climate change adaptation plans disclosed in the mucnicipalities of Achuapa, El Sauce in the department of Leon and Villanueva in the department of Chinandega.
Plan formulation is in process for Chinandega, El Viejo, Puerto Morazan Somotillo in the department of Chinandega and Larreynaga - Malpaisillo in the department of Leon. To date, 2 workshops have been held in the municipality of Puerto Morazan - Chinandega with the participation of 50 people: 31 men, of which 11 are young men, and 19 women, of which 5 are young women. 
The Villanueva River Sub-watershed Committee is in the process of being formed, in coordination with the National Water Authority (ANA), Municipal Environmental Units (UAM), Municipal Water and Sanitation Units (UMAS), through community meetings and exchange of experiences to leave it duly constituted and operating. </t>
  </si>
  <si>
    <t xml:space="preserve">The hydrological study of the upper, middle, and lower part of the Villanueva River sub-watershed was completed in 2014, which will allow local and community governments to know the critical points and future climate scenarios, as well as mitigation and environmental restoration measures.  This process became operational in the framework of a collaboration agreement between the Ministry of the Environment and Natural Resources and the Nicaraguan Institute of Territorial Studies. Adendum No. 101 to the Collaboration Agreement between the Ministry of the Environment and  Natural Resources (MARENA) and the Nicaraguan Institute of Territorial Studies (INETER), given in the city of Managua on the 14th of May, 2013. </t>
  </si>
  <si>
    <t>90% of families in the targeted communities in each micro-watershed have access to the communal irrigation systems , in the municipality of El Sauce - Leon.</t>
  </si>
  <si>
    <t xml:space="preserve">Few family farms (5%) in the targeted municipalities are implementing agro-ecological farm transformation plans. </t>
  </si>
  <si>
    <t xml:space="preserve">Number of producing families in the targeted micro-watersheds with at least one annual harvest due to adaptation measures.  </t>
  </si>
  <si>
    <t>Number of producing families included in the sub-watershed management proposal.</t>
  </si>
  <si>
    <t xml:space="preserve">Percentage of farms in each micro-watershed with irrigation from hydraulic works constructed with program funds. </t>
  </si>
  <si>
    <t xml:space="preserve">Surface in Hectares to increase in irrigation. </t>
  </si>
  <si>
    <t xml:space="preserve">Percentage of farms in each micro-watershed whose water usage qualifies as Satisfactory in relation to the corresponding technical indications.  </t>
  </si>
  <si>
    <t xml:space="preserve">Number of water collection projects installed and working at the micro-watershed level. </t>
  </si>
  <si>
    <t>1005 Producers with Agro-ecological Farm Transformation Plans, which represent 100% of the total beneficiary producers who are implementing their agro-ecological transformation plans on their farms, guaranteeing two annual harvests.</t>
  </si>
  <si>
    <t xml:space="preserve">7,174 families included in the management plan proposals for 8 micro-watersheds. Includes ToR for the 8 Management Plans and the Management Plan for the Rio Villanueva Watershed.  </t>
  </si>
  <si>
    <t xml:space="preserve">Increase in the percentage of land in each micro-watershed with permanent vegetation coverage. </t>
  </si>
  <si>
    <t xml:space="preserve">Number of families benefitting from home and land investments through the Farming Transformations Plans (PTAF). </t>
  </si>
  <si>
    <t>A proposal validated and endorsed by three municipal governments for the operation of a Committee for the Rio Villanueva Sub-watershed.</t>
  </si>
  <si>
    <t xml:space="preserve">Hydrological study and number of informative bulletins disclosing the participatory monitoring of water quantity and quality, soils conditions, and the changes in its use. </t>
  </si>
  <si>
    <t xml:space="preserve">Lessons learned in the eight micro-watersheds and the Rio Villanueva sub-watershed available at SINIA and other websites (ALM) and distributed through exchange workshops. </t>
  </si>
  <si>
    <t xml:space="preserve">The Program's objective is to reduce the risks of droughts and flooding caused by climate change and variability in the Estero Real River Watershed in the Departments of Leon and Chinandega, the Estero River (3,690 km2), and especially the sub-watershed of the Villanueva River (1,290 km2), also known as the Rio Grande or Aquespalapa - typical of the combined effects of poor development models and strong climate variability. It will be carried out by investing in water collection, the use of agro-ecological best practices in farms for more effective use of existing resources, capacity building in local communities, municipalities and government institutions by formulating and implementing policies, plans and programs that reduce enviornmental variability and promote the sustainable management of natural resources, the recuperation of the ecosystems and the population's access to a healthy environment, thus promoting climate change adaptation and also providing the means to apply the national Climate Change strategy.                                                  </t>
  </si>
  <si>
    <t>1.1 Two communal irrigation systems supply famliy farms in two micro-watersheds.</t>
  </si>
  <si>
    <t>1.1 Two communal irrigation systems supply family farms in two micro-watersheds.</t>
  </si>
  <si>
    <t>1.2 At least 880 rainwater collection and storage facilities supply family farms in eight micro-watersheds.</t>
  </si>
  <si>
    <t>1.3 At least 1000 farm families organized and trained in management, efficient use and maintenance of their communal and individual irrigation systems and water storage facilities.</t>
  </si>
  <si>
    <t>2.1 At least 1000 farm families with agro-ecological farm transformation plans and using their own resources and available credit for their ongoing implementation.</t>
  </si>
  <si>
    <t>3.2 inter-institutional coordinating bodies in El Sauce, Achuapa and Villanueva coordinate governmental and non-governmental agency work plans in the micro-watershed in the Villanueva River basin.</t>
  </si>
  <si>
    <t>3.3 Validated proposal for normative instruments to build climate change resilience and for the operation of a Villanueva River sub-watershed committee</t>
  </si>
  <si>
    <t>3.4 Nine municipalities in the Estero Real River basin incorporate climate change adaptation measures in their land use, investment and water use plans and related normative instruments.</t>
  </si>
  <si>
    <t>4.1 A hydrological study of the lower part of the Villanueva River basin, identifying the hydraulic works needed to reduce the flooding caused by sediments from the upper watershed.</t>
  </si>
  <si>
    <t>4.3 Electronic information posts in each targeted micro-watershed present relevant national and global climate information, digitalize local monitoring data, and prepare maps of land use, waer flow and soil quality changes for farm families, local organizations and users of the National Environmental Information System (SINIA).</t>
  </si>
  <si>
    <t xml:space="preserve">Risk mitigation meaures against El Niño, which caused approximately 10 months of drought, included: moving up the planting date for primary plants, irrigation of established plants (fruit trees, forest, and fodder) with water collected in the small facilities built, managing humidity in the planted areas with mulch and planting with deep soil levels, and directly planting forest seeds late in the season.  In the communal irrigation systems that greatly reduced their flow, the irrigation committes were strengthened and the irrigation schedule was improved, and although the planting areas were reduced, the families had more than two harvests a year.                      </t>
  </si>
  <si>
    <t>Feed AF and MARENA website; 4 annual reports and 12 quarterly reports.</t>
  </si>
  <si>
    <t>July 2013 - June 2014</t>
  </si>
  <si>
    <t>April, 2014</t>
  </si>
  <si>
    <t xml:space="preserve">Preparation of 85 family agro-ecological farm transformation plans as an essential instrument to guide investment in the adaptive productive systems. </t>
  </si>
  <si>
    <t xml:space="preserve">At least  448 rainwater collection and storage structures supply water to farms in eight micro-watersheds.                      </t>
  </si>
  <si>
    <t xml:space="preserve">A total of 85 families have agro-ecological farm transformation plans (PTAF) distributed as follows:  
 El Sauce:81 families.
 In Villanueva: 04 families.
</t>
  </si>
  <si>
    <t xml:space="preserve">Work to establish communal irrigation system completed:   Salale in 2013. </t>
  </si>
  <si>
    <t xml:space="preserve">
Construction of the one communal irrigation system completed in the communities of  Salale in the municipality of El Sauce, benefitting a total of 32 families,  in the community of Salale. This system  guaranteeing at least one annual harvest, thus guaranteeing food security for the families.                                </t>
  </si>
  <si>
    <r>
      <t xml:space="preserve">Objective:  </t>
    </r>
    <r>
      <rPr>
        <sz val="10"/>
        <color indexed="8"/>
        <rFont val="Times New Roman"/>
        <family val="1"/>
      </rPr>
      <t>Reducir los riesgos de sequías e inundaciones generados por el cambio climático y la variabilidad en la Cuenca del Río Estero Real.</t>
    </r>
  </si>
  <si>
    <t>medium</t>
  </si>
  <si>
    <t>low</t>
  </si>
  <si>
    <t xml:space="preserve">778 rainwater collection and storage projects have been constructed and are working in the communities of Achuapa, El Sauce, and Villanueva benefitting 790 families with a distribution of:
El Sauce: 35 ponds, 73 troughs, 25 cisterns, 30 drinking troughs, and 1 dyke and/or dam in the communiteies of Las Mercedes, El Borbollon, the Ismael Castillo Cooperative, Salale, Petaquilla, Campañento, La Montaña, La Montañita, El Ojochal, Nacascolo Norte, and Coyol Placa.
Achuapa: 21 ponds, 197 troughs, 51 cisterns, 60 drinking troughs and 13 dams in the communities of  San Nicolas, Lagartillo, Las Brisas, San Antonio, Varela, El Guaylo, Guanacaste, Las Lajas, Rio Arriba, Las Tablas, and Rodeito.
Villanueva: 40 ponds, 117 troughs, 55 cisterns, and 60 drinking troughs in the communities of Los Genizaros, Los Tololos, San Ramon, Las Pilas, El Tule and Chupaderos
</t>
  </si>
  <si>
    <t>Outcome 2</t>
  </si>
  <si>
    <t>Outcome 1</t>
  </si>
  <si>
    <t>Outcome 3</t>
  </si>
  <si>
    <t>Outcome 4</t>
  </si>
  <si>
    <t xml:space="preserve">The process carried out in the last few months to strengthen the organization of the irrigation committees has allowed them to apply their organization and operations manuals as well as changing their culture of tradicional productive items, consolidating the effective implementation of the communal irrigation works driven by the project.                                                                                                                                                                                                                                                                                                                                                                                                  The collection and direct planting of forest seeds promoted with the 1,005 families is a simple, low cost method with high reforestation in a short time, allowing the sustainable improvement of 965.91 ha which are now being naturally regenerated for the protection of the water recharge areas and riparian zones.                                                                                                                                                                                                                                                                                                           
The different awareness messages disclosed with signs have contributed toward the positive change in attitude of the community members, and as a result they are placing the environmental themes in the cultural, social, political and religious processes.  This has resulted in greater supervision of the natural resources with a decrease in forest fires, agricultural burning and illegall felling, improving their adaptive capacity regarding climate change.  Due to design flaws, the original design for the construction of drinking troughs in the small rainwater collection works was changed for a more compact, double design that allows more animals to drink.
Risk mitigation meaures against El Niño, which caused approximately 10 months of drought, included: moving up the planting date for primary plants, irrigation of established plants (fruit trees, forest, and fodder) with water collected in the small facilities built, managing humidity in the planted areas with mulch and planting with deep soil levels, and directly planting forest seeds late in the season.  In the communal irrigation systems that greatly reduced their flow, the irrigation committes were strengthened and the irrigation schedule was improved, and although the planting areas were reduced, the families had more than two harvests a year.                                                                </t>
  </si>
  <si>
    <t>www.sinia.net.ni/multisites/EsteroReal
www.marena.gob.ni</t>
  </si>
  <si>
    <r>
      <t>Estimated cumulative total disbursement as of</t>
    </r>
    <r>
      <rPr>
        <b/>
        <sz val="11"/>
        <color indexed="10"/>
        <rFont val="Times New Roman"/>
        <family val="1"/>
      </rPr>
      <t xml:space="preserve"> JUNE  2014</t>
    </r>
  </si>
  <si>
    <t>List item / activity / action and corresponding amount spent for the current reporting period
JULY 2013 - JUNE  2014</t>
  </si>
  <si>
    <t xml:space="preserve">Construction of  Salale communal irrigation system completed.                   
</t>
  </si>
  <si>
    <t xml:space="preserve">Percentage of producer families in each micro-watershed implementing agro-ecological farm transformation plans </t>
  </si>
  <si>
    <t>Surface in hectares in agro-ecological farming transformation plans.</t>
  </si>
  <si>
    <t xml:space="preserve">2,235 hectares have been reported to be under agro-ecological management through 1005 agro-ecological transformation plans created in the municipalities of Achuapa in Varela and El Coyolar micro-watersheds, in the municipality of El Sauce in Campamento - Petaquilla micro-watersheds; Las Mercedes and Salale, and in the municipality of Villanueva in El Pilon, El Genizaros, and Las Pilas micro-watersheds.
The goal was surpassed by 200% "
</t>
  </si>
  <si>
    <t>1120 has</t>
  </si>
  <si>
    <t xml:space="preserve">The drought of approximately 10 months that affected the project's targeted zone did not permit carrying out the measurements for the water quantity and quality study, however, the measurements were programmed to be carried out during the months of October and November which are the rainiest month of the year.                                                                                                                                                                                                                             The direct planting of forest seed was delayed due to the drought that affected the zone, however, most of the families planted late in the season with excellent results.                                                                                                                                                                                                                                                                                                                                       The Program's website design has been delayed due to the change in bandwidth of the MARENA portal because the previous one had many technical problems. In response to this, all the program's information has been migrated to the new bandwidth. The current website is dynamic and interactive, with links for maps and databases, where the user can see whatever is of his interest. The lessons learned document has been delayed because of its complexity, however, through team work with Project technicians, territorial delegations and external partners it is being formulated in a participatory manner.                                                      </t>
  </si>
  <si>
    <t>To strengthen follow-up to the implementation of agro-ecological farm transformation plans, in Component II 9 extensionists were hired who were not considered in the initial phase, a very important aspect to guarantee the installation of the adaptive productive systems.  Likewise, the rainwater collection works component in the initial phase had not considered hiring construction supervisors and the program hired two supervisors who guaranteed the quality and operation of the facilities. To support the compensatory environmental activities to be carried out by the families, the collection and direct planting of forest seed is very important. Inter-institutional coordination and partnerships formed with other ministries and institutions has been key in replicating the project's activities, for example, the Ministry of Family, Community, Cooperative and Associative Economy is promoting a project on water collection works, using the design and experiences of the Estero Real Project. Likewise, following the mid-term recommendation, all the disclosure and informative materials (manuals, guides, booklets, studies) are being written using simple, popular language including environmentally friendly ancestral practices which are being validated with the beneficiary families.
For improvements and changesd undertaken as response to Mid-term Review, please see justification box at bottom of Ratings tab.</t>
  </si>
  <si>
    <t xml:space="preserve">3 municipalities (El Sauce, Achuapa and Villanueva) have formulatedClimate Change Adaptation Plans  </t>
  </si>
  <si>
    <t>8 electronic information posts working in the program's targered micro-watersheds, which are collecting and disclosing climate related information.</t>
  </si>
  <si>
    <t xml:space="preserve">This risk has been overcome. Suggest to be removed
</t>
  </si>
  <si>
    <t xml:space="preserve">At least  448 rainwater collection and storage structures supply water to farms in eight micro-watersheds.     </t>
  </si>
  <si>
    <t>Construction of 488 rainwater collection and storage structures (55 Lagunetas, 273 Pilas, 61 Cisternas 91 Abrevaderos y 08 diques)</t>
  </si>
  <si>
    <t>Development of 85 agro-ecological transformation plans to introduce silvopastoral systems in family farms.</t>
  </si>
  <si>
    <t xml:space="preserve"> Identification of riparian zones and water recharge areas to protect and develop land management plans. </t>
  </si>
  <si>
    <t xml:space="preserve">As of 2014, 1,005 Agro-ecological Farm Transformation Plans have been formulated and implemented, benefitting an equal number of families, through the delivery of supplies and plants in the municipalities of Achuapa (4,071 rolls of wire, 8,142 lbs of staples, 68,229 plants, including trees, native fruit trees, grafts, and fodder and 186 bins of worms), El Sauce (3,652 rolls of wire, 7,304 lbs of staples, 74,794 plants, including trees, native fruit trees, grafts, and fodder and 147 bins of worms) and Villanueva (3,063 rolls of wire, 6,126 lbs of staples, 55,546 plants, including trees, native fruit trees, grafts, and fodder and 160 bins of worms). The agro-ecological farm transformation plans have allowed the families to have a strategic vision of the integral management and development of their farms. This implementation can be verified through technical assistance supervision sheets, delivery certificates, and location maps through georeferencing.                                                                      
</t>
  </si>
  <si>
    <t>Electronic information posts functioning and generating local climate information.</t>
  </si>
  <si>
    <t>Payment to Date</t>
  </si>
  <si>
    <t>Remaining Balance</t>
  </si>
  <si>
    <t>Component 1:
Investments in infrastructures for collection and use of rain and surface water in eight micro-watersheds in the upper watershed of the Estero Real River.</t>
  </si>
  <si>
    <t xml:space="preserve">Componente 2:
Introduction of climate resilient agro-ecological practices for the effective use of available water. </t>
  </si>
  <si>
    <t>Componente 3:
Training and institutional development in micro-watersheds, municipalities and participating national institutions.</t>
  </si>
  <si>
    <t xml:space="preserve">Componente 4:
Continuous monitoring and analysis of climate conditions and land use changes, water volume and soil quality. </t>
  </si>
  <si>
    <t xml:space="preserve">Output. 1.1
The construction of 2 communal irrigation systems to supply water to 85 farming families in 2 micro-watersheds, which increases water viability for domestic use and small scale production and reduces the risk of water shortage and drought.                             </t>
  </si>
  <si>
    <t xml:space="preserve">Output  2.1
At least 1,500 farm families have agro-ecological transformation plans for their farms, which will allow introducing resilient climate change agro-ecological practices to use available water efficiently, using their own resources and the available credit for their implementation.                                         </t>
  </si>
  <si>
    <t>Output.  2.3
Identify and prioritize 400 ha of water recharge areas and riparian zones of the drinking water systems in state of deterioration.</t>
  </si>
  <si>
    <t xml:space="preserve">Output  3.1.
Design and development of a fire prevention and control campaign for forest, agricultural and cattle farming areas, in coordination with the Civil Defense.                                           </t>
  </si>
  <si>
    <t xml:space="preserve">Output  3.1.
Establish climate change adaptation measures in the municipalities of Villanueva, El Sauce and Achuapa to face climate change impacts through the development of municipal climate change adaptation plans.                                 </t>
  </si>
  <si>
    <t xml:space="preserve">Output. 4.1
Hydrological study of the lower watershed of the Villanueva River, identifying the required hydraulic works to reduce flooding caused by sediment from the upper watershed.                        </t>
  </si>
  <si>
    <t xml:space="preserve">Output 4.3
Establish electronic information messages to collect information of each of the 8 micro-watersheds with the support of SINIA-MARENA and government institutions.                                                  </t>
  </si>
  <si>
    <t>Maria Fernanda Sanchez  /   Gabor Vereczi</t>
  </si>
  <si>
    <t>fernanda.sanchez@undp.org    /    gabor.vereczi@undp.org</t>
  </si>
  <si>
    <t>90% target reached (represents 85 families), plus additional 32 families have been provided access to the communal irrigation systems</t>
  </si>
  <si>
    <t>Output 1.2 
At least 880 rainwater collection and storage structures to fams in eight micro watersheds.</t>
  </si>
  <si>
    <t xml:space="preserve">OUTCOME  1: Increased availability of water for small scale domestic and productive uses and reduced risk of water stress and drought. </t>
  </si>
  <si>
    <t>OUTCOME  2: Enhance resilience through agro-ecological practices and effective use of available water in the eight targeted micro-watersheds</t>
  </si>
  <si>
    <t xml:space="preserve">Water recharge areas and riparian zones established and managed in the program's 8 targeted  micro watershed.                                                        </t>
  </si>
  <si>
    <t xml:space="preserve">Fire prevention and control campaing developed, with participation of local stakeholders from micro watershed in the 3 municipalities.     </t>
  </si>
  <si>
    <t xml:space="preserve">One campaing for sensibilization, prevention and control of wildfire carried out in the 29 targeted communities in the municipalities of El Sauce, Achuapa y Villanueva through radio announcements, tv spots, workshops and meetings, with the participation of students, municipal environmental units, Civil Defense, Army, MARENA local representatives, Local Committies for Disaster Attenction (COMUPRED) and civil society in general.
19 environmental brigades formed, each with 10 members, in 29 communities of the 8 micro watersheds, where a sensibilization campaing took place for the whole community through a house to house visit, prevention tools were delivered, the early alert system was strenghten for monitoring of heat points and wildfire, as well as agricultural burning and a radio campaign was carried out in the departments of León and Chinandega.                                                     </t>
  </si>
  <si>
    <t xml:space="preserve">Municipal Climate Change Adaptation Plans disclosed for Achuapa, El Sacue and Villanueva, and agreemenst established with local governments, institutions and NGOs for the elaboration of 5 Municipal Plans in the departments of Leon and Chinandega.                   </t>
  </si>
  <si>
    <t xml:space="preserve">OUTCOME  4: Continuous monitoring and analysis of climate conditions and land use changes, water volume and soil quality. </t>
  </si>
  <si>
    <t>Final draft of the Hydrological Study, to be finished in September 2014.</t>
  </si>
  <si>
    <t xml:space="preserve">Municipal Climate Change Adaptation Plans disclosed for Achuapa, El Sacue and Villanueva, and agreemenst established with local governments, institutions and NGOs for the elaboration of 5 Municipal Plans in the departments of Leon and Chinandega.                  </t>
  </si>
  <si>
    <t xml:space="preserve">During 2013 MARENA concluded the building of the comunal irrigation system in Salale, that will increase water availability for household and productive use, 32 actors were benefited  in Salale micro watershed.  A total of 1005 families have been benefited with equal agroecological transformation plans in lands where environmental restoration systems were implemented (agroforestry and silvopastoral).
3 Climate Change Adaptation Municipal Plans were published for municipalities of Achuapa, El Sauce y Villanueva and the Committee of the sub watershed of Rio Villanueva is under process to be established, in coordination with the National Water Authority (ANA). Municipal Environmental Units (UAM), Municipal Water and Sanitation Units, through community assemblies and exchange of experiences to duly set up the committe.
Recommendations and actions from the MTR:
1. Expand on baseline parametes to include socio-cultural, physiochemical, biologici-ecologic, and economic dimensions in the baseline, and to include other institutions such as UNAN-León, INETER, MINSA and organizations such as TASCA50 in order to minimize additional work upon the project team.
Action:
-  Elaborate a Study on the  Quality and Avalibality of Water Resources in the 8 micro watersheds of Estero Real river.
-  Agreements with the UNAN – León to carry out a Social Audit in the 8 micro watershed of Estero Real river.
-  Study about Social and Environmental Indicators for Climate Change Adaptation to monitor the sub watershed of Villanueva river in the Estero Real river watershed.
2.  Enhance the monitoring system to be more dynamic, interactive and user friendly.  Maps should be interactive and disseminated as a learning tool, instead of merely an static information source.
Action:
-  Web site dynamic and interactie, with links to maps and databases where the user can visualize information of interest.
3.  Share information and data to be dissemitad in order to enhance level on knowldge, contributing to local innovative proceses.  Models, compilation of traditional practices, coloring books, flyers, and other means of dissemination that could be discussed with stakeholders. 
Action:
-  Material for dissemination and information (guidebooks, flyers, studies) should be elaborated in a common language, simple and popular, compiling traditional practices, environmental friendly, that are now being validated with benefited families.
4.  Development of indicators for metaphorical terms such as resilience and sustainability.  Eventhough the prodoc mentions such terms, it does not explains how to quantify them.  Nevertheless, the project has the opportunity to take advantage of some of the good initiatives mentioned in the bibliography and create indicators to measure these terms.
Action:
-  Through technical discussins, forums and meetings with the academia, efforts are being made to define these terms and identify inidcators to quantify them.
- Identify a course on Sustainable Management and Climate Change for MARENA representatives. </t>
  </si>
  <si>
    <t xml:space="preserve">Increased availability of water for small scale domestic and productive uses and reduced risk of water stress and drought. </t>
  </si>
  <si>
    <t xml:space="preserve">Introduction of climate resilient agro-ecological practices for the effective use of available water. </t>
  </si>
  <si>
    <t xml:space="preserve">1005 targeted families in 29 communities benefit from home and land investments (758 ehanced stoves, 721 hen houses and 331 chicken feed storage facilities).
</t>
  </si>
  <si>
    <t>50% (at least 200has of riparian forest zones)</t>
  </si>
  <si>
    <t>1005 Families</t>
  </si>
  <si>
    <t>Training and institutional development in micro-watersheds, municipalities and participating national institutions.</t>
  </si>
  <si>
    <t>3 municipalities (Achuapa, El sauce y Villanueva) with Climate Chagne Adaptation Municipal Plans integrated in their anual work plans and in associated norms and regulations. 
5 municipalities in process of elaboration of their Climate Change Adaptation Municipal Plans (Chinandega, El Viejo, Puerto Morazán Somotillo y Larreynaga - Malpaisillo).</t>
  </si>
  <si>
    <t>Final version of the website available (www.sinia.net.ni/multisites/EsteroReal).
Leasons Learned Document under elaboration and to be validated through workshops.</t>
  </si>
  <si>
    <t xml:space="preserve">Environmetal restoration system (agroforestry, silvopastoral) importan to reduce drought risks or water deficit in crops since they create a micro climate that maintains soil humidity allowing crops.  These systems contribute to reduce erosion and water infiltration.                  
-Management of natural regeneration of water recharge and riparians areas.  Forest repopulation through plants during drought seasons presents low survival, while plants that are born adapted to the areas secure population in less time, with less cost and effort. 
-Recollection and direct sowing of forest seeds is a silvicultural method of great impact, cheapear and easy to adopt by stakeholders that are in charge of reforestation in water recharge and riparian areas.
</t>
  </si>
  <si>
    <t>Strenghtening of irrigation committies, in the case of comunal irrigation systems and the process of farm transformation in environmental restoration systems because it depends on the rainy season for its establisment.</t>
  </si>
  <si>
    <t>Capacity development, transformation process of agroecologic farms to a resilient and water responsible system, territorial management and planning towards climate change adaptation.</t>
  </si>
  <si>
    <t>Actions for reaserch on relevant issues such transformation processes through adaptative measures.</t>
  </si>
  <si>
    <t xml:space="preserve">Workshops, consultations and meetings, allowed to inform stakeholders and other relevant actors about the efective devolpment and implementation of project activities.
The georeference database of farms under agroecological management allows to elaborate comparative maps, through which land use changes can be informed.
Participative environemntal monitoring in the 8 micro watershed (precipitation rate, erosion measures, volume rate) allows community decision making towards events such as droughts and flooding for early warning.
</t>
  </si>
  <si>
    <t>Learning about climate change adaptation allowed stakeholders and other actotrs to put in practice methodologies, best practices and strategies of the project, enhanceing their adaptive capacities.</t>
  </si>
  <si>
    <t>The main learning objective from the project was to decrease the knowledge gap about climate change adaptation.</t>
  </si>
  <si>
    <t xml:space="preserve">Communal irrigation systems are essential for water reservoirs and to enhance its distribution for a larger area of irrigation during the year, and the stakeholders ensure at least 3 harvests a year.                                                                                                                  
Ponds are more suitable for silvopastoral producers than agroforestal produces since they decreased productive area because of the space needed.
-Environmental Restoration Systems (agroforestry and silvopastoral) important to reduce risks of drought and water deficit in crops since they create a microclimate that maintains soil humidity allowing crops, even if these are reduced in number.  Silvopastoral systems contribute to reduce erosion and water infiltration.                                                             
-Management of natural regeneration of water recharge and riparians areas.  Forest repopulation through plants during drought seasons presents low survival, while plants that are born adapted to the areas secure population in less time, with less cost and effort.  
-Recollection and direct sowing of forest seeds is a silvicultural method of great impact, cheapear and easy to adopt by stakeholders that are in charge of reforestation in water recharge and riparian areas.
- Participative environmental monitoring through information nodes, keeps communities informed about severe events, acting as an early warning.
</t>
  </si>
  <si>
    <t xml:space="preserve">Output. 1.1
The construction of 2 communal irrigation systems to supply water to 85 farming families in 2 micro-watersheds, which increases water viability for domestic use and small scale production and reduces the risk of water shortage and drought.  </t>
  </si>
  <si>
    <t xml:space="preserve">Output  2.1
At least 1,500 farm families have agro-ecological transformation plans for their farms, which will allow introducing resilient climate change agro-ecological practices to use available water efficiently, using their own resources and the available credit for their implementation.        </t>
  </si>
  <si>
    <t xml:space="preserve">Output  3.1.
Design and development of a fire prevention and control campaign for forest, agricultural and cattle farming areas, in coordination with the Civil Defense.               </t>
  </si>
  <si>
    <t xml:space="preserve">Output  3.1.
Establish climate change adaptation measures in the municipalities of Villanueva, El Sauce and Achuapa to face climate change impacts through the development of municipal climate change adaptation plans.       </t>
  </si>
  <si>
    <t xml:space="preserve">Output. 4.1
Hydrological study of the lower watershed of the Villanueva River, identifying the required hydraulic works to reduce flooding caused by sediment from the upper watershed.  </t>
  </si>
  <si>
    <t xml:space="preserve">Output 4.3
Establish electronic information messages to collect information of each of the 8 micro-watersheds with the support of SINIA-MARENA and government institutions.                         </t>
  </si>
  <si>
    <t xml:space="preserve">Construction of communal irrigation system of Salale, municipality of El Sauce was completed in Novenber 2013, benefiting 32 families. This system is guaranteeing at least one annual harvest.
During the first cycle of 2014, in the Salale micro-watershed, of the 32 families only 17 worked with the irrigation system, planting 4.17 ha  of corn, beans, grasses, coffee, yuca, and fruit trees, producing between 16-18 cwt/ha of corn and beans. 
The second productive cycle was affected in both systems by El Niño regarding meeting expected goal of 34.5 ha in Salale.
Coordination has been strengthened with INTA, MAGFOR, and MEFCA to provice technical assistance and guarantee sustainability of actions driven by the program. 
</t>
  </si>
  <si>
    <t>61% of vegetation covered increased, reaching 11% more of what was programmed (50%), going from 100 has to 223 has in riparian forest.  Parallel to this, 1,785 has of forest in hidric recharge zones were naturally recovered, incresing riparian forest protection.</t>
  </si>
  <si>
    <t xml:space="preserve">A total of 223 ha of riparian zones  have been indentified and are under sustainable forest management through the direct planting of forest seeds and the protection of these zones. Additionally 1,785 has of forests in hidric recharge zones were naturally recovered, incresing riparian forest protection. 
</t>
  </si>
  <si>
    <t>161.5 has</t>
  </si>
  <si>
    <t xml:space="preserve">488 rainwater collection and storage structures built and working (55 ponds, 273 piles, 61 reservoirs, 91 drinking trough and 8 dams) in municipal communities of Achuapa, El Sauce y Villanueva, benefiting the same number of families.
Family satisfaction is 90% regarding the use of collected water, which is used for domestic use, watering fruit trees, cucurbitaceas, watering pasture on a small scale and drinking water for cattle; this is recorded in visit sheets, technical reports and records of satisfactory reception. </t>
  </si>
  <si>
    <t xml:space="preserve">A total of 223 ha of riparaian zones established and managed and  1,785 has of forests in hidric recharge zones were naturally recovered, incresing riparian forest protection. 
In the program's eight targeted micro-watersheds there is no wildfires and they have been fenced in for this reason; the farmers have been provided with wire, staples, and plants to improve the forest, as well as with technical assistance and training.   
</t>
  </si>
  <si>
    <t xml:space="preserve">Hydrological study carried out for the upper, middle, and lower part of the Villanueva River sub-watershed which will allow local and community governments to know the critical points and future climate events, as well as mitigation and environmental restoration measures.  This process became operational in the framework of a collaboration agreement between the Ministry of the Environment and Natural Resources and the Nicaraguan Institute of Territorial Studies. Study of flooding threats carried out since 2012 for the Villanueva urban area and neighboring towns, which has allowed local governments to locate the critical points for risk management.                                                  
</t>
  </si>
  <si>
    <r>
      <rPr>
        <b/>
        <sz val="11"/>
        <rFont val="Times New Roman"/>
        <family val="1"/>
      </rPr>
      <t>Component 1:</t>
    </r>
    <r>
      <rPr>
        <sz val="11"/>
        <rFont val="Times New Roman"/>
        <family val="1"/>
      </rPr>
      <t xml:space="preserve">
Investments in infrastructures for collection and use of rain and surface water in eight micro-watersheds in the upper watershed of the Estero Real River.                            
</t>
    </r>
  </si>
  <si>
    <r>
      <rPr>
        <b/>
        <sz val="11"/>
        <rFont val="Times New Roman"/>
        <family val="1"/>
      </rPr>
      <t>Component 2:</t>
    </r>
    <r>
      <rPr>
        <sz val="11"/>
        <rFont val="Times New Roman"/>
        <family val="1"/>
      </rPr>
      <t xml:space="preserve">
Introduction of climate resilient agro-ecological practices for the effective use of available water. 
</t>
    </r>
  </si>
  <si>
    <r>
      <rPr>
        <b/>
        <sz val="11"/>
        <rFont val="Times New Roman"/>
        <family val="1"/>
      </rPr>
      <t xml:space="preserve">Component 3:
</t>
    </r>
    <r>
      <rPr>
        <sz val="11"/>
        <rFont val="Times New Roman"/>
        <family val="1"/>
      </rPr>
      <t>Training and institutional development in micro-watersheds, municipalities and participating national institutions.</t>
    </r>
  </si>
  <si>
    <r>
      <rPr>
        <b/>
        <sz val="11"/>
        <rFont val="Times New Roman"/>
        <family val="1"/>
      </rPr>
      <t>Component 4:</t>
    </r>
    <r>
      <rPr>
        <sz val="11"/>
        <rFont val="Times New Roman"/>
        <family val="1"/>
      </rPr>
      <t xml:space="preserve">
Continuous monitoring and analysis of climate conditions and land use changes, water volume and soil quality. </t>
    </r>
  </si>
  <si>
    <t xml:space="preserve">90% of target farms benefitted from irrigation systems installed, plus hydraulic works were built in 32 additional farms. Before irrigation has been applied in an ad hoc and artesanal manner, buit through the project irrigation systems have been systemized and technical capacities enhanced for their operations.
</t>
  </si>
  <si>
    <t xml:space="preserve">For the reporting period, the irrigated area increased in a 36.62 has reaching a total of 104.17 has.  The goal was not fully reached due to the El Niño phenomenon (10 months of summer). In this case, only 17 families worked with the irrigation system in the Salale micro-watershed, cultivating 14.17 ha of corn, beans, pastureland, coffee, yucca, and fruit trees, increasing by 2.62 ha the 11.55 ha that were irrigated by hand. The second cycle was affected by the El Niño phenomenon keeping it from reaching the programmed goal of 34.5 ha.
</t>
  </si>
  <si>
    <t>88% of targeted families with hydraulic works built in the 8 micro watershed communities, qualify as satisfactory the demand over quantity and quality of water, that is used for crops and cattle in a small scale during summer season, which guarantees food security of targeted families.</t>
  </si>
  <si>
    <t xml:space="preserve">100% of targeted families in the watersheds have agro ecologilca farm transformation plans (PTAF), distributed as follows:
- Achuapa: 375 families.
- El Sauce: 350 families.
- Villanueva: 280 families.
</t>
  </si>
  <si>
    <t>Committee for the Rio Villanueva Sub-watershed has been formed and a the development of a Management Plan of the Sub watershed has been initiated.</t>
  </si>
  <si>
    <t xml:space="preserve">Hydro-geological study concluded in the high, mid and low sections of the sub watershed of Villanueva river. This will allow local governments and community to know critical areas and future climate scenarios, as well as mitigation and environmental restoration measures.
9 informative bulletins elaborated and disseminated locally, with information from environmental monitoring of climate conditions, soil conditions, and water quantity and quality and lessons learned about agroecologic practices and water haraves developed in the 29 communities of the program. 
</t>
  </si>
  <si>
    <t>Ongoing monitoring and analysis of climatic conditions and changes in land use, water flows and soil quality</t>
  </si>
  <si>
    <t xml:space="preserve">Number Municipalities in the watershed with climate change adaptive measures included in their official plans or related normative instruments. </t>
  </si>
  <si>
    <t>Environmental Restoration Systems (Agroforestry and silvopastoral) because they enhance food security even in drought season.  Natural regeneration of water recharge and riparian areas ensure forest repopulation.  Direct sowing of forestry seeds because they guarantee plants survival, and is cheapear and easy to adopt by stakeholders.</t>
  </si>
  <si>
    <t>That adaptation measures have been complementary in their applications, and there has not been a least effective measure identified</t>
  </si>
  <si>
    <t>Comunal Irrigation systems:  essential as water reservoirs and to enhance water distribution, which allows to irrigate a larger area during the year, ensuring at least 3 harvest annually for the target communities.                                                                                                                      
-Ponds: more suitable for silvopastoral producers than agroforestal produces since they decreased productive area because of the space needed.  In silvopastoral systems, a 900 mt3 pond allows drinking water for 80 cattle heads during 5 months, or irrigate 2 has of pasture.
-Piles:  enhance water access for domestic users and satisfy plants and animals needs.
-Cisterns:  enhance water access for domestic users and satisfy plants and animals needs.
-Drinking trough:  guarantee that water from ponds and other sources is save and clean for cattle in paddocks.
-Environmental Restoration Systems (agroforestry and silvopastoral) important to reduce risks of drought and water deficit in crops since they create a microclimate that maintains soil humidity allowing crops, even if these are reduced in number.  Silvopastoral systems contribute to reduce erosion and water infiltration.                                                             
-Management of natural regeneration of water recharge and riparians areas.  Forest repopulation through plants during drought seasons presents low survival, while plants that are born adapted to the areas secure population in less time, with less cost and effort.  
-Recollection and direct sowing of forest seeds is a silvicultural method of great impact, cheapear and easy to adopt by stakeholders that are in charge of reforestation in water recharge and riparian areas.
- Participative environmental monitoring through information nodes, keeps communities informed about severe events, acting as an early warning.</t>
  </si>
  <si>
    <t>Adoption of best practices and technology from targeted actors, who carried out the step by step transformation of their farms, active participation of communities, family, local governments and government insitutions in the project.</t>
  </si>
  <si>
    <t>Application of agroecologic transformation of farms, with resilient practices, appropriation of territorial management and planning towards climate change adaptation from local governments, sub and micro watershed communities, family and community, environmental movements and government institutions.  Prosperity alliances have been achieved between different insitituions, where experiences are being replicated.</t>
  </si>
  <si>
    <t xml:space="preserve">The program have not faced difficulties to obtain pre existing information. </t>
  </si>
  <si>
    <t xml:space="preserve">The different awareness events (Fairs, workshops and dialogues) to improve equal opportunities and access for men and women have been key for a change in attitude of both men and women, and equity regarding in decision-making within the family has improved. The productive activities for women have fostered empowerment and control over the family assets.
In general terms, women participation in events promoted by the project was of approximately 35%.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</si>
</sst>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quot;\ #,##0_);\(&quot;C$&quot;\ #,##0\)"/>
    <numFmt numFmtId="165" formatCode="&quot;C$&quot;\ #,##0_);[Red]\(&quot;C$&quot;\ #,##0\)"/>
    <numFmt numFmtId="166" formatCode="&quot;C$&quot;\ #,##0.00_);\(&quot;C$&quot;\ #,##0.00\)"/>
    <numFmt numFmtId="167" formatCode="&quot;C$&quot;\ #,##0.00_);[Red]\(&quot;C$&quot;\ #,##0.00\)"/>
    <numFmt numFmtId="168" formatCode="_(&quot;C$&quot;\ * #,##0_);_(&quot;C$&quot;\ * \(#,##0\);_(&quot;C$&quot;\ * &quot;-&quot;_);_(@_)"/>
    <numFmt numFmtId="169" formatCode="_(&quot;C$&quot;\ * #,##0.00_);_(&quot;C$&quot;\ * \(#,##0.00\);_(&quot;C$&quot;\ * &quot;-&quot;??_);_(@_)"/>
    <numFmt numFmtId="170" formatCode="&quot;PAB&quot;#,##0_);\(&quot;PAB&quot;#,##0\)"/>
    <numFmt numFmtId="171" formatCode="&quot;PAB&quot;#,##0_);[Red]\(&quot;PAB&quot;#,##0\)"/>
    <numFmt numFmtId="172" formatCode="&quot;PAB&quot;#,##0.00_);\(&quot;PAB&quot;#,##0.00\)"/>
    <numFmt numFmtId="173" formatCode="&quot;PAB&quot;#,##0.00_);[Red]\(&quot;PAB&quot;#,##0.00\)"/>
    <numFmt numFmtId="174" formatCode="_(&quot;PAB&quot;* #,##0_);_(&quot;PAB&quot;* \(#,##0\);_(&quot;PAB&quot;* &quot;-&quot;_);_(@_)"/>
    <numFmt numFmtId="175" formatCode="_(&quot;PAB&quot;* #,##0.00_);_(&quot;PAB&quot;* \(#,##0.00\);_(&quot;PAB&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dd\-mmm\-yyyy"/>
    <numFmt numFmtId="185" formatCode="#,##0.0"/>
    <numFmt numFmtId="186" formatCode="0.0"/>
    <numFmt numFmtId="187" formatCode="[$$-409]#,##0.00"/>
    <numFmt numFmtId="188" formatCode="[$$-540A]#,##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4C0A]\ #,##0.0"/>
    <numFmt numFmtId="194" formatCode="[$-1540A]dd\-mmm\-yy;@"/>
    <numFmt numFmtId="195" formatCode="_ * #,##0.00_ ;_ * \-#,##0.00_ ;_ * &quot;-&quot;??_ ;_ @_ "/>
    <numFmt numFmtId="196" formatCode="_(* #,##0_);_(* \(#,##0\);_(* &quot;-&quot;??_);_(@_)"/>
    <numFmt numFmtId="197" formatCode="&quot;Yes&quot;;&quot;Yes&quot;;&quot;No&quot;"/>
    <numFmt numFmtId="198" formatCode="&quot;True&quot;;&quot;True&quot;;&quot;False&quot;"/>
    <numFmt numFmtId="199" formatCode="&quot;On&quot;;&quot;On&quot;;&quot;Off&quot;"/>
  </numFmts>
  <fonts count="10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b/>
      <sz val="10"/>
      <name val="Calibri"/>
      <family val="2"/>
    </font>
    <font>
      <sz val="10"/>
      <name val="Arial"/>
      <family val="2"/>
    </font>
    <font>
      <sz val="10"/>
      <color indexed="8"/>
      <name val="Times New Roman"/>
      <family val="1"/>
    </font>
    <font>
      <b/>
      <sz val="12"/>
      <name val="Times New Roman"/>
      <family val="1"/>
    </font>
    <font>
      <b/>
      <sz val="10"/>
      <name val="Times New Roman"/>
      <family val="1"/>
    </font>
    <font>
      <sz val="12"/>
      <name val="Times New Roman"/>
      <family val="1"/>
    </font>
    <font>
      <sz val="11"/>
      <color indexed="56"/>
      <name val="Times New Roman"/>
      <family val="1"/>
    </font>
    <font>
      <i/>
      <sz val="12"/>
      <name val="Times New Roman"/>
      <family val="1"/>
    </font>
    <font>
      <i/>
      <sz val="11"/>
      <color indexed="56"/>
      <name val="Times New Roman"/>
      <family val="1"/>
    </font>
    <font>
      <u val="single"/>
      <sz val="11"/>
      <name val="Calibri"/>
      <family val="2"/>
    </font>
    <font>
      <sz val="9.5"/>
      <name val="Times New Roman"/>
      <family val="1"/>
    </font>
    <font>
      <i/>
      <sz val="9.5"/>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56"/>
      <name val="Times New Roman"/>
      <family val="1"/>
    </font>
    <font>
      <sz val="11"/>
      <name val="Calibri"/>
      <family val="2"/>
    </font>
    <font>
      <sz val="11"/>
      <color indexed="30"/>
      <name val="Times New Roman"/>
      <family val="1"/>
    </font>
    <font>
      <b/>
      <sz val="11"/>
      <color indexed="9"/>
      <name val="Times New Roman"/>
      <family val="1"/>
    </font>
    <font>
      <sz val="12"/>
      <color indexed="56"/>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10"/>
      <color theme="1"/>
      <name val="Times New Roman"/>
      <family val="1"/>
    </font>
    <font>
      <sz val="12"/>
      <color rgb="FF000000"/>
      <name val="Times New Roman"/>
      <family val="1"/>
    </font>
    <font>
      <sz val="11"/>
      <color rgb="FFFF0000"/>
      <name val="Times New Roman"/>
      <family val="1"/>
    </font>
    <font>
      <sz val="11"/>
      <color rgb="FF002060"/>
      <name val="Times New Roman"/>
      <family val="1"/>
    </font>
    <font>
      <b/>
      <sz val="11"/>
      <color rgb="FF002060"/>
      <name val="Times New Roman"/>
      <family val="1"/>
    </font>
    <font>
      <b/>
      <sz val="11"/>
      <color rgb="FFFF0000"/>
      <name val="Times New Roman"/>
      <family val="1"/>
    </font>
    <font>
      <i/>
      <sz val="11"/>
      <color theme="1"/>
      <name val="Times New Roman"/>
      <family val="1"/>
    </font>
    <font>
      <sz val="11"/>
      <color rgb="FF0070C0"/>
      <name val="Times New Roman"/>
      <family val="1"/>
    </font>
    <font>
      <b/>
      <sz val="11"/>
      <color rgb="FFFFFFFF"/>
      <name val="Times New Roman"/>
      <family val="1"/>
    </font>
    <font>
      <sz val="12"/>
      <color rgb="FF002060"/>
      <name val="Times New Roman"/>
      <family val="1"/>
    </font>
    <font>
      <b/>
      <sz val="14"/>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rgb="FFD8E4BC"/>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2"/>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medium"/>
      <top style="medium"/>
      <bottom style="medium"/>
    </border>
    <border>
      <left style="medium"/>
      <right style="medium"/>
      <top>
        <color indexed="63"/>
      </top>
      <bottom style="thin"/>
    </border>
    <border>
      <left style="thin"/>
      <right style="medium"/>
      <top style="thin"/>
      <bottom style="medium"/>
    </border>
    <border>
      <left style="thin"/>
      <right style="medium"/>
      <top style="medium"/>
      <bottom style="medium"/>
    </border>
    <border>
      <left style="medium"/>
      <right style="medium"/>
      <top style="medium"/>
      <bottom>
        <color indexed="63"/>
      </botto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style="medium"/>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style="medium"/>
      <top style="thin"/>
      <bottom>
        <color indexed="63"/>
      </bottom>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medium"/>
    </border>
    <border>
      <left style="thin"/>
      <right style="medium"/>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style="medium"/>
      <right>
        <color indexed="63"/>
      </right>
      <top>
        <color indexed="63"/>
      </top>
      <bottom style="thin"/>
    </border>
    <border>
      <left style="thin"/>
      <right>
        <color indexed="63"/>
      </right>
      <top style="medium"/>
      <bottom style="medium"/>
    </border>
    <border>
      <left>
        <color indexed="63"/>
      </left>
      <right style="medium">
        <color rgb="FF000000"/>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195" fontId="25" fillId="0" borderId="0" applyFont="0" applyFill="0" applyBorder="0" applyAlignment="0" applyProtection="0"/>
    <xf numFmtId="0" fontId="75" fillId="31" borderId="0" applyNumberFormat="0" applyBorder="0" applyAlignment="0" applyProtection="0"/>
    <xf numFmtId="0" fontId="25" fillId="0" borderId="0">
      <alignment/>
      <protection/>
    </xf>
    <xf numFmtId="0" fontId="25"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37">
    <xf numFmtId="0" fontId="0" fillId="0" borderId="0" xfId="0" applyFont="1" applyAlignment="1">
      <alignment/>
    </xf>
    <xf numFmtId="0" fontId="80" fillId="0" borderId="0" xfId="0" applyFont="1" applyFill="1" applyAlignment="1" applyProtection="1">
      <alignment/>
      <protection/>
    </xf>
    <xf numFmtId="0" fontId="80"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protection locked="0"/>
    </xf>
    <xf numFmtId="184" fontId="2" fillId="33" borderId="12" xfId="0" applyNumberFormat="1" applyFont="1" applyFill="1" applyBorder="1" applyAlignment="1" applyProtection="1">
      <alignment horizontal="left"/>
      <protection locked="0"/>
    </xf>
    <xf numFmtId="0" fontId="80" fillId="0" borderId="0" xfId="0" applyFont="1" applyAlignment="1">
      <alignment horizontal="left" vertical="center"/>
    </xf>
    <xf numFmtId="0" fontId="80" fillId="0" borderId="0" xfId="0" applyFont="1" applyAlignment="1">
      <alignment/>
    </xf>
    <xf numFmtId="0" fontId="3" fillId="0" borderId="0"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80"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0" fillId="0" borderId="0" xfId="0" applyFont="1" applyAlignment="1">
      <alignment/>
    </xf>
    <xf numFmtId="0" fontId="16" fillId="33" borderId="14" xfId="0" applyFont="1" applyFill="1" applyBorder="1" applyAlignment="1" applyProtection="1">
      <alignment vertical="top" wrapText="1"/>
      <protection/>
    </xf>
    <xf numFmtId="0" fontId="16" fillId="33" borderId="14" xfId="0" applyFont="1" applyFill="1" applyBorder="1" applyAlignment="1" applyProtection="1">
      <alignment horizontal="center" vertical="top" wrapText="1"/>
      <protection/>
    </xf>
    <xf numFmtId="0" fontId="15" fillId="33" borderId="15"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7" fillId="0" borderId="16" xfId="0" applyFont="1" applyBorder="1" applyAlignment="1" applyProtection="1">
      <alignment horizontal="left" vertical="top" wrapText="1"/>
      <protection/>
    </xf>
    <xf numFmtId="0" fontId="81" fillId="0" borderId="17" xfId="0" applyFont="1" applyBorder="1" applyAlignment="1" applyProtection="1">
      <alignment vertical="top" wrapText="1"/>
      <protection/>
    </xf>
    <xf numFmtId="0" fontId="0" fillId="0" borderId="0" xfId="0" applyAlignment="1">
      <alignment horizontal="center" vertical="center"/>
    </xf>
    <xf numFmtId="0" fontId="17" fillId="0" borderId="16" xfId="0" applyFont="1" applyBorder="1" applyAlignment="1" applyProtection="1">
      <alignment vertical="top" wrapText="1"/>
      <protection/>
    </xf>
    <xf numFmtId="0" fontId="17" fillId="0" borderId="17" xfId="0" applyFont="1" applyBorder="1" applyAlignment="1" applyProtection="1">
      <alignment vertical="top" wrapText="1"/>
      <protection/>
    </xf>
    <xf numFmtId="0" fontId="82" fillId="10" borderId="18" xfId="0" applyFont="1" applyFill="1" applyBorder="1" applyAlignment="1">
      <alignment horizontal="center" vertical="center" wrapText="1"/>
    </xf>
    <xf numFmtId="0" fontId="83" fillId="34" borderId="19" xfId="0" applyFont="1" applyFill="1" applyBorder="1" applyAlignment="1">
      <alignment horizontal="center" vertical="center" wrapText="1"/>
    </xf>
    <xf numFmtId="0" fontId="82" fillId="10" borderId="14" xfId="0" applyFont="1" applyFill="1" applyBorder="1" applyAlignment="1">
      <alignment horizontal="center" vertical="center" wrapText="1"/>
    </xf>
    <xf numFmtId="0" fontId="82" fillId="33" borderId="18" xfId="0" applyFont="1" applyFill="1" applyBorder="1" applyAlignment="1">
      <alignment vertical="top" wrapText="1"/>
    </xf>
    <xf numFmtId="0" fontId="82" fillId="33" borderId="0" xfId="0" applyFont="1" applyFill="1" applyBorder="1" applyAlignment="1">
      <alignment horizontal="left" vertical="top" wrapText="1"/>
    </xf>
    <xf numFmtId="0" fontId="82"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81" fillId="33" borderId="0" xfId="0" applyFont="1" applyFill="1" applyBorder="1" applyAlignment="1" applyProtection="1">
      <alignment vertical="top" wrapText="1"/>
      <protection/>
    </xf>
    <xf numFmtId="0" fontId="82" fillId="33" borderId="0" xfId="0" applyFont="1" applyFill="1" applyBorder="1" applyAlignment="1">
      <alignment horizontal="center" vertical="top" wrapText="1"/>
    </xf>
    <xf numFmtId="0" fontId="83" fillId="34" borderId="20" xfId="0" applyFont="1" applyFill="1" applyBorder="1" applyAlignment="1">
      <alignment horizontal="center" vertical="center" wrapText="1"/>
    </xf>
    <xf numFmtId="0" fontId="72" fillId="33" borderId="0" xfId="53" applyFill="1" applyBorder="1" applyAlignment="1" applyProtection="1">
      <alignment horizontal="center" vertical="top" wrapText="1"/>
      <protection/>
    </xf>
    <xf numFmtId="0" fontId="83" fillId="34" borderId="21" xfId="0" applyFont="1" applyFill="1" applyBorder="1" applyAlignment="1">
      <alignment horizontal="center" vertical="center" wrapText="1"/>
    </xf>
    <xf numFmtId="0" fontId="17" fillId="10" borderId="16" xfId="0" applyFont="1" applyFill="1" applyBorder="1" applyAlignment="1" applyProtection="1">
      <alignment horizontal="left" vertical="top" wrapText="1"/>
      <protection/>
    </xf>
    <xf numFmtId="0" fontId="81" fillId="10" borderId="17"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protection/>
    </xf>
    <xf numFmtId="0" fontId="2" fillId="10" borderId="23" xfId="0" applyFont="1" applyFill="1" applyBorder="1" applyAlignment="1" applyProtection="1">
      <alignment/>
      <protection/>
    </xf>
    <xf numFmtId="0" fontId="2" fillId="10" borderId="20"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80" fillId="10" borderId="0" xfId="0" applyFont="1" applyFill="1" applyBorder="1" applyAlignment="1">
      <alignment/>
    </xf>
    <xf numFmtId="0" fontId="11" fillId="10" borderId="25"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wrapText="1"/>
      <protection/>
    </xf>
    <xf numFmtId="0" fontId="2" fillId="10" borderId="27" xfId="0" applyFont="1" applyFill="1" applyBorder="1" applyAlignment="1" applyProtection="1">
      <alignment vertical="top" wrapText="1"/>
      <protection/>
    </xf>
    <xf numFmtId="0" fontId="2" fillId="10" borderId="28" xfId="0" applyFont="1" applyFill="1" applyBorder="1" applyAlignment="1" applyProtection="1">
      <alignment/>
      <protection/>
    </xf>
    <xf numFmtId="0" fontId="15" fillId="10" borderId="25" xfId="0" applyFont="1" applyFill="1" applyBorder="1" applyAlignment="1" applyProtection="1">
      <alignment vertical="top" wrapText="1"/>
      <protection/>
    </xf>
    <xf numFmtId="0" fontId="15" fillId="10" borderId="24"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80" fillId="10" borderId="22" xfId="0" applyFont="1" applyFill="1" applyBorder="1" applyAlignment="1">
      <alignment horizontal="left" vertical="center"/>
    </xf>
    <xf numFmtId="0" fontId="80" fillId="10" borderId="23" xfId="0" applyFont="1" applyFill="1" applyBorder="1" applyAlignment="1">
      <alignment horizontal="left" vertical="center"/>
    </xf>
    <xf numFmtId="0" fontId="80" fillId="10" borderId="23" xfId="0" applyFont="1" applyFill="1" applyBorder="1" applyAlignment="1">
      <alignment/>
    </xf>
    <xf numFmtId="0" fontId="80" fillId="10" borderId="20" xfId="0" applyFont="1" applyFill="1" applyBorder="1" applyAlignment="1">
      <alignment/>
    </xf>
    <xf numFmtId="0" fontId="80" fillId="10" borderId="24" xfId="0" applyFont="1" applyFill="1" applyBorder="1" applyAlignment="1">
      <alignment horizontal="left" vertical="center"/>
    </xf>
    <xf numFmtId="0" fontId="2" fillId="10" borderId="25"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3" fillId="10" borderId="27" xfId="0" applyFont="1" applyFill="1" applyBorder="1" applyAlignment="1" applyProtection="1">
      <alignment vertical="top" wrapText="1"/>
      <protection/>
    </xf>
    <xf numFmtId="0" fontId="2" fillId="10" borderId="28" xfId="0" applyFont="1" applyFill="1" applyBorder="1" applyAlignment="1" applyProtection="1">
      <alignment vertical="top" wrapText="1"/>
      <protection/>
    </xf>
    <xf numFmtId="0" fontId="80" fillId="10" borderId="23" xfId="0" applyFont="1" applyFill="1" applyBorder="1" applyAlignment="1" applyProtection="1">
      <alignment/>
      <protection/>
    </xf>
    <xf numFmtId="0" fontId="80" fillId="10" borderId="20" xfId="0" applyFont="1" applyFill="1" applyBorder="1" applyAlignment="1" applyProtection="1">
      <alignment/>
      <protection/>
    </xf>
    <xf numFmtId="0" fontId="80" fillId="10" borderId="0" xfId="0" applyFont="1" applyFill="1" applyBorder="1" applyAlignment="1" applyProtection="1">
      <alignment/>
      <protection/>
    </xf>
    <xf numFmtId="0" fontId="80" fillId="10" borderId="2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5"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7" xfId="0" applyFont="1" applyFill="1" applyBorder="1" applyAlignment="1" applyProtection="1">
      <alignment/>
      <protection/>
    </xf>
    <xf numFmtId="0" fontId="84" fillId="0" borderId="14" xfId="0" applyFont="1" applyBorder="1" applyAlignment="1">
      <alignment horizontal="center" readingOrder="1"/>
    </xf>
    <xf numFmtId="0" fontId="0" fillId="10" borderId="22" xfId="0" applyFill="1" applyBorder="1" applyAlignment="1">
      <alignment/>
    </xf>
    <xf numFmtId="0" fontId="0" fillId="10" borderId="23" xfId="0" applyFill="1" applyBorder="1" applyAlignment="1">
      <alignment/>
    </xf>
    <xf numFmtId="0" fontId="0" fillId="10" borderId="20" xfId="0" applyFill="1" applyBorder="1" applyAlignment="1">
      <alignment/>
    </xf>
    <xf numFmtId="0" fontId="0" fillId="10" borderId="24" xfId="0" applyFill="1" applyBorder="1" applyAlignment="1">
      <alignment/>
    </xf>
    <xf numFmtId="0" fontId="0" fillId="10" borderId="0" xfId="0" applyFill="1" applyBorder="1" applyAlignment="1">
      <alignment/>
    </xf>
    <xf numFmtId="0" fontId="14" fillId="10" borderId="25" xfId="0" applyFont="1" applyFill="1" applyBorder="1" applyAlignment="1" applyProtection="1">
      <alignment/>
      <protection/>
    </xf>
    <xf numFmtId="0" fontId="0" fillId="10" borderId="25" xfId="0" applyFill="1" applyBorder="1" applyAlignment="1">
      <alignment/>
    </xf>
    <xf numFmtId="0" fontId="85" fillId="10" borderId="22" xfId="0" applyFont="1" applyFill="1" applyBorder="1" applyAlignment="1">
      <alignment vertical="center"/>
    </xf>
    <xf numFmtId="0" fontId="85" fillId="10" borderId="24" xfId="0" applyFont="1" applyFill="1" applyBorder="1" applyAlignment="1">
      <alignment vertical="center"/>
    </xf>
    <xf numFmtId="0" fontId="85" fillId="10" borderId="0" xfId="0" applyFont="1" applyFill="1" applyBorder="1" applyAlignment="1">
      <alignment vertical="center"/>
    </xf>
    <xf numFmtId="0" fontId="0" fillId="0" borderId="0" xfId="0" applyBorder="1" applyAlignment="1">
      <alignment/>
    </xf>
    <xf numFmtId="0" fontId="83" fillId="34" borderId="19"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4"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86" fillId="10" borderId="14" xfId="0" applyFont="1" applyFill="1" applyBorder="1" applyAlignment="1">
      <alignment horizontal="center" vertical="center"/>
    </xf>
    <xf numFmtId="0" fontId="11" fillId="10" borderId="0" xfId="0" applyFont="1" applyFill="1" applyBorder="1" applyAlignment="1" applyProtection="1">
      <alignment horizontal="center" vertical="center" wrapText="1"/>
      <protection/>
    </xf>
    <xf numFmtId="0" fontId="83" fillId="34" borderId="19" xfId="0" applyFont="1" applyFill="1" applyBorder="1" applyAlignment="1">
      <alignment horizontal="center" vertical="center" wrapText="1"/>
    </xf>
    <xf numFmtId="0" fontId="0" fillId="10" borderId="0" xfId="0" applyFill="1" applyAlignment="1">
      <alignment horizontal="left" vertical="center"/>
    </xf>
    <xf numFmtId="0" fontId="80" fillId="10" borderId="22" xfId="0" applyFont="1" applyFill="1" applyBorder="1" applyAlignment="1">
      <alignment/>
    </xf>
    <xf numFmtId="0" fontId="80" fillId="10" borderId="24" xfId="0" applyFont="1" applyFill="1" applyBorder="1" applyAlignment="1">
      <alignment/>
    </xf>
    <xf numFmtId="0" fontId="80" fillId="10" borderId="25" xfId="0" applyFont="1" applyFill="1" applyBorder="1" applyAlignment="1">
      <alignment/>
    </xf>
    <xf numFmtId="0" fontId="87" fillId="10" borderId="0" xfId="0" applyFont="1" applyFill="1" applyBorder="1" applyAlignment="1">
      <alignment/>
    </xf>
    <xf numFmtId="0" fontId="88" fillId="10" borderId="0" xfId="0" applyFont="1" applyFill="1" applyBorder="1" applyAlignment="1">
      <alignment/>
    </xf>
    <xf numFmtId="0" fontId="87" fillId="0" borderId="29" xfId="0" applyFont="1" applyFill="1" applyBorder="1" applyAlignment="1">
      <alignment vertical="top" wrapText="1"/>
    </xf>
    <xf numFmtId="0" fontId="87" fillId="0" borderId="30" xfId="0" applyFont="1" applyFill="1" applyBorder="1" applyAlignment="1">
      <alignment vertical="top" wrapText="1"/>
    </xf>
    <xf numFmtId="0" fontId="87" fillId="0" borderId="14" xfId="0" applyFont="1" applyFill="1" applyBorder="1" applyAlignment="1">
      <alignment vertical="top" wrapText="1"/>
    </xf>
    <xf numFmtId="0" fontId="80" fillId="10" borderId="26" xfId="0" applyFont="1" applyFill="1" applyBorder="1" applyAlignment="1">
      <alignment/>
    </xf>
    <xf numFmtId="0" fontId="80" fillId="10" borderId="27" xfId="0" applyFont="1" applyFill="1" applyBorder="1" applyAlignment="1">
      <alignment/>
    </xf>
    <xf numFmtId="0" fontId="80" fillId="10" borderId="28" xfId="0" applyFont="1" applyFill="1" applyBorder="1" applyAlignment="1">
      <alignment/>
    </xf>
    <xf numFmtId="0" fontId="89" fillId="0" borderId="14" xfId="0" applyFont="1" applyFill="1" applyBorder="1" applyAlignment="1">
      <alignment horizontal="center" vertical="top" wrapText="1"/>
    </xf>
    <xf numFmtId="0" fontId="89" fillId="0" borderId="14" xfId="0" applyFont="1" applyFill="1" applyBorder="1" applyAlignment="1">
      <alignment horizontal="center" vertical="top"/>
    </xf>
    <xf numFmtId="1" fontId="2" fillId="33" borderId="31" xfId="0" applyNumberFormat="1" applyFont="1" applyFill="1" applyBorder="1" applyAlignment="1" applyProtection="1">
      <alignment horizontal="left"/>
      <protection locked="0"/>
    </xf>
    <xf numFmtId="0" fontId="3" fillId="10" borderId="0" xfId="0" applyFont="1" applyFill="1" applyBorder="1" applyAlignment="1" applyProtection="1">
      <alignment horizontal="right" wrapText="1"/>
      <protection/>
    </xf>
    <xf numFmtId="0" fontId="80" fillId="0" borderId="0" xfId="0" applyFont="1" applyFill="1" applyAlignment="1" applyProtection="1">
      <alignment horizontal="right"/>
      <protection/>
    </xf>
    <xf numFmtId="0" fontId="80" fillId="10" borderId="22" xfId="0" applyFont="1" applyFill="1" applyBorder="1" applyAlignment="1" applyProtection="1">
      <alignment horizontal="right"/>
      <protection/>
    </xf>
    <xf numFmtId="0" fontId="80" fillId="10" borderId="23" xfId="0" applyFont="1" applyFill="1" applyBorder="1" applyAlignment="1" applyProtection="1">
      <alignment horizontal="right"/>
      <protection/>
    </xf>
    <xf numFmtId="0" fontId="80" fillId="10" borderId="24" xfId="0" applyFont="1" applyFill="1" applyBorder="1" applyAlignment="1" applyProtection="1">
      <alignment horizontal="right"/>
      <protection/>
    </xf>
    <xf numFmtId="0" fontId="80"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horizontal="right" vertical="top" wrapText="1"/>
      <protection/>
    </xf>
    <xf numFmtId="0" fontId="86"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4" xfId="0" applyFont="1" applyFill="1" applyBorder="1" applyAlignment="1" applyProtection="1">
      <alignment horizontal="right" wrapText="1"/>
      <protection/>
    </xf>
    <xf numFmtId="0" fontId="2" fillId="33" borderId="32" xfId="0" applyFont="1" applyFill="1" applyBorder="1" applyAlignment="1" applyProtection="1">
      <alignment vertical="top" wrapText="1"/>
      <protection/>
    </xf>
    <xf numFmtId="0" fontId="3" fillId="33" borderId="33" xfId="0" applyFont="1" applyFill="1" applyBorder="1" applyAlignment="1" applyProtection="1">
      <alignment horizontal="right" vertical="center" wrapText="1"/>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33" borderId="11" xfId="0" applyFont="1" applyFill="1" applyBorder="1" applyAlignment="1" applyProtection="1">
      <alignment horizontal="left"/>
      <protection/>
    </xf>
    <xf numFmtId="0" fontId="72" fillId="33" borderId="11" xfId="53" applyFill="1" applyBorder="1" applyAlignment="1" applyProtection="1">
      <alignment/>
      <protection locked="0"/>
    </xf>
    <xf numFmtId="0" fontId="2" fillId="33" borderId="12" xfId="0" applyFont="1" applyFill="1" applyBorder="1" applyAlignment="1" applyProtection="1">
      <alignment horizontal="left"/>
      <protection/>
    </xf>
    <xf numFmtId="1" fontId="2" fillId="33" borderId="14" xfId="0" applyNumberFormat="1" applyFont="1" applyFill="1" applyBorder="1" applyAlignment="1" applyProtection="1">
      <alignment horizontal="left" vertical="center"/>
      <protection locked="0"/>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0" fillId="0" borderId="0" xfId="0" applyFont="1" applyFill="1" applyBorder="1" applyAlignment="1">
      <alignment/>
    </xf>
    <xf numFmtId="0" fontId="0" fillId="35" borderId="22" xfId="0" applyFont="1" applyFill="1" applyBorder="1" applyAlignment="1">
      <alignment/>
    </xf>
    <xf numFmtId="0" fontId="0" fillId="35" borderId="23" xfId="0" applyFont="1" applyFill="1" applyBorder="1" applyAlignment="1">
      <alignment/>
    </xf>
    <xf numFmtId="0" fontId="0" fillId="35" borderId="20" xfId="0" applyFont="1" applyFill="1" applyBorder="1" applyAlignment="1">
      <alignment/>
    </xf>
    <xf numFmtId="0" fontId="0" fillId="35" borderId="24" xfId="0" applyFont="1" applyFill="1" applyBorder="1" applyAlignment="1">
      <alignment/>
    </xf>
    <xf numFmtId="0" fontId="15" fillId="35" borderId="0" xfId="0" applyFont="1" applyFill="1" applyBorder="1" applyAlignment="1" applyProtection="1">
      <alignment vertical="top" wrapText="1"/>
      <protection/>
    </xf>
    <xf numFmtId="0" fontId="15" fillId="35" borderId="25" xfId="0" applyFont="1" applyFill="1" applyBorder="1" applyAlignment="1" applyProtection="1">
      <alignment vertical="top" wrapText="1"/>
      <protection/>
    </xf>
    <xf numFmtId="0" fontId="15" fillId="35" borderId="24" xfId="0" applyFont="1" applyFill="1" applyBorder="1" applyAlignment="1" applyProtection="1">
      <alignment vertical="top" wrapText="1"/>
      <protection/>
    </xf>
    <xf numFmtId="0" fontId="16" fillId="35" borderId="36" xfId="0" applyFont="1" applyFill="1" applyBorder="1" applyAlignment="1" applyProtection="1">
      <alignment horizontal="left" vertical="top" wrapText="1"/>
      <protection/>
    </xf>
    <xf numFmtId="0" fontId="15" fillId="35" borderId="24" xfId="0" applyFont="1" applyFill="1" applyBorder="1" applyAlignment="1" applyProtection="1">
      <alignment horizontal="center" vertical="top" wrapText="1"/>
      <protection/>
    </xf>
    <xf numFmtId="0" fontId="16" fillId="36" borderId="19" xfId="0" applyFont="1" applyFill="1" applyBorder="1" applyAlignment="1">
      <alignment horizontal="center"/>
    </xf>
    <xf numFmtId="0" fontId="16" fillId="36" borderId="14" xfId="0" applyFont="1" applyFill="1" applyBorder="1" applyAlignment="1">
      <alignment horizontal="center"/>
    </xf>
    <xf numFmtId="0" fontId="0" fillId="0" borderId="0" xfId="0" applyAlignment="1">
      <alignment vertical="top" wrapText="1"/>
    </xf>
    <xf numFmtId="0" fontId="0" fillId="0" borderId="0" xfId="0" applyAlignment="1">
      <alignment vertical="center"/>
    </xf>
    <xf numFmtId="0" fontId="0" fillId="0" borderId="0" xfId="0" applyNumberFormat="1" applyAlignment="1">
      <alignment vertical="top"/>
    </xf>
    <xf numFmtId="0" fontId="80" fillId="0" borderId="0" xfId="0" applyFont="1" applyFill="1" applyBorder="1" applyAlignment="1">
      <alignment/>
    </xf>
    <xf numFmtId="0" fontId="0" fillId="0" borderId="24"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33" borderId="0" xfId="0" applyFont="1" applyFill="1" applyBorder="1" applyAlignment="1">
      <alignment/>
    </xf>
    <xf numFmtId="0" fontId="16" fillId="37" borderId="14" xfId="0" applyFont="1" applyFill="1" applyBorder="1" applyAlignment="1" applyProtection="1">
      <alignment horizontal="center" vertical="top" wrapText="1"/>
      <protection/>
    </xf>
    <xf numFmtId="0" fontId="90" fillId="0" borderId="0" xfId="0" applyFont="1" applyFill="1" applyBorder="1" applyAlignment="1">
      <alignment/>
    </xf>
    <xf numFmtId="0" fontId="90" fillId="35" borderId="23" xfId="0" applyFont="1" applyFill="1" applyBorder="1" applyAlignment="1">
      <alignment/>
    </xf>
    <xf numFmtId="0" fontId="80" fillId="35" borderId="23" xfId="0" applyFont="1" applyFill="1" applyBorder="1" applyAlignment="1">
      <alignment/>
    </xf>
    <xf numFmtId="0" fontId="15" fillId="33" borderId="14" xfId="0" applyFont="1" applyFill="1" applyBorder="1" applyAlignment="1" applyProtection="1">
      <alignment/>
      <protection/>
    </xf>
    <xf numFmtId="0" fontId="28" fillId="35" borderId="37" xfId="0" applyFont="1" applyFill="1" applyBorder="1" applyAlignment="1" applyProtection="1">
      <alignment horizontal="left" vertical="top" wrapText="1"/>
      <protection/>
    </xf>
    <xf numFmtId="0" fontId="29" fillId="0" borderId="38" xfId="0" applyFont="1" applyFill="1" applyBorder="1" applyAlignment="1" applyProtection="1">
      <alignment horizontal="left" vertical="top" wrapText="1"/>
      <protection/>
    </xf>
    <xf numFmtId="0" fontId="29" fillId="33" borderId="38" xfId="0" applyFont="1" applyFill="1" applyBorder="1" applyAlignment="1" applyProtection="1">
      <alignment vertical="top" wrapText="1"/>
      <protection/>
    </xf>
    <xf numFmtId="15" fontId="29" fillId="0" borderId="38" xfId="0" applyNumberFormat="1" applyFont="1" applyFill="1" applyBorder="1" applyAlignment="1" applyProtection="1">
      <alignment horizontal="center" vertical="top" wrapText="1"/>
      <protection/>
    </xf>
    <xf numFmtId="187" fontId="29" fillId="0" borderId="38" xfId="0" applyNumberFormat="1" applyFont="1" applyFill="1" applyBorder="1" applyAlignment="1" applyProtection="1">
      <alignment horizontal="right" vertical="top" wrapText="1" indent="1"/>
      <protection/>
    </xf>
    <xf numFmtId="0" fontId="29" fillId="0" borderId="38" xfId="0" applyFont="1" applyBorder="1" applyAlignment="1">
      <alignment horizontal="left" vertical="center" wrapText="1"/>
    </xf>
    <xf numFmtId="188" fontId="29" fillId="38" borderId="38" xfId="59" applyNumberFormat="1" applyFont="1" applyFill="1" applyBorder="1" applyAlignment="1" applyProtection="1">
      <alignment horizontal="center" vertical="center"/>
      <protection locked="0"/>
    </xf>
    <xf numFmtId="0" fontId="29" fillId="0" borderId="38" xfId="0" applyNumberFormat="1" applyFont="1" applyBorder="1" applyAlignment="1">
      <alignment horizontal="left" vertical="center" wrapText="1"/>
    </xf>
    <xf numFmtId="0" fontId="82" fillId="38" borderId="38" xfId="0" applyNumberFormat="1" applyFont="1" applyFill="1" applyBorder="1" applyAlignment="1">
      <alignment horizontal="left" vertical="center" wrapText="1"/>
    </xf>
    <xf numFmtId="194" fontId="82" fillId="38" borderId="38" xfId="0" applyNumberFormat="1" applyFont="1" applyFill="1" applyBorder="1" applyAlignment="1">
      <alignment horizontal="center" vertical="center" wrapText="1"/>
    </xf>
    <xf numFmtId="0" fontId="20" fillId="38" borderId="38" xfId="0" applyFont="1" applyFill="1" applyBorder="1" applyAlignment="1">
      <alignment horizontal="left" vertical="center" wrapText="1"/>
    </xf>
    <xf numFmtId="194" fontId="20" fillId="38" borderId="38" xfId="0" applyNumberFormat="1" applyFont="1" applyFill="1" applyBorder="1" applyAlignment="1">
      <alignment horizontal="center" vertical="center" wrapText="1"/>
    </xf>
    <xf numFmtId="0" fontId="20" fillId="33" borderId="38" xfId="0" applyFont="1" applyFill="1" applyBorder="1" applyAlignment="1">
      <alignment horizontal="left" vertical="center" wrapText="1"/>
    </xf>
    <xf numFmtId="188" fontId="20" fillId="38" borderId="38" xfId="42" applyNumberFormat="1" applyFont="1" applyFill="1" applyBorder="1" applyAlignment="1">
      <alignment horizontal="center" vertical="center" wrapText="1"/>
    </xf>
    <xf numFmtId="188" fontId="29" fillId="38" borderId="38" xfId="59" applyNumberFormat="1" applyFont="1" applyFill="1" applyBorder="1" applyAlignment="1" applyProtection="1">
      <alignment horizontal="center" vertical="center"/>
      <protection locked="0"/>
    </xf>
    <xf numFmtId="0" fontId="91" fillId="33" borderId="38" xfId="0" applyFont="1" applyFill="1" applyBorder="1" applyAlignment="1" applyProtection="1">
      <alignment vertical="top" wrapText="1"/>
      <protection/>
    </xf>
    <xf numFmtId="0" fontId="29" fillId="0" borderId="38" xfId="0" applyFont="1" applyFill="1" applyBorder="1" applyAlignment="1" applyProtection="1">
      <alignment vertical="center" wrapText="1"/>
      <protection/>
    </xf>
    <xf numFmtId="0" fontId="29" fillId="0" borderId="38" xfId="0" applyFont="1" applyFill="1" applyBorder="1" applyAlignment="1" applyProtection="1">
      <alignment horizontal="center" vertical="center" wrapText="1"/>
      <protection/>
    </xf>
    <xf numFmtId="15" fontId="29" fillId="0" borderId="38" xfId="0" applyNumberFormat="1" applyFont="1" applyFill="1" applyBorder="1" applyAlignment="1" applyProtection="1">
      <alignment horizontal="center" vertical="center" wrapText="1"/>
      <protection/>
    </xf>
    <xf numFmtId="0" fontId="29" fillId="33" borderId="38" xfId="0" applyFont="1" applyFill="1" applyBorder="1" applyAlignment="1" applyProtection="1">
      <alignment vertical="center" wrapText="1"/>
      <protection/>
    </xf>
    <xf numFmtId="187" fontId="29" fillId="0" borderId="38" xfId="0" applyNumberFormat="1" applyFont="1" applyFill="1" applyBorder="1" applyAlignment="1" applyProtection="1">
      <alignment horizontal="center" vertical="center" wrapText="1"/>
      <protection/>
    </xf>
    <xf numFmtId="0" fontId="4" fillId="35" borderId="0" xfId="0" applyFont="1" applyFill="1" applyBorder="1" applyAlignment="1" applyProtection="1">
      <alignment horizontal="left" vertical="top" wrapText="1"/>
      <protection/>
    </xf>
    <xf numFmtId="188" fontId="29" fillId="38" borderId="38" xfId="59" applyNumberFormat="1" applyFont="1" applyFill="1" applyBorder="1" applyAlignment="1" applyProtection="1">
      <alignment horizontal="right" vertical="center"/>
      <protection locked="0"/>
    </xf>
    <xf numFmtId="188" fontId="29" fillId="33" borderId="38" xfId="59" applyNumberFormat="1" applyFont="1" applyFill="1" applyBorder="1" applyAlignment="1" applyProtection="1">
      <alignment horizontal="right" vertical="center"/>
      <protection locked="0"/>
    </xf>
    <xf numFmtId="0" fontId="29" fillId="33" borderId="38" xfId="0" applyNumberFormat="1" applyFont="1" applyFill="1" applyBorder="1" applyAlignment="1">
      <alignment horizontal="left" vertical="center" wrapText="1"/>
    </xf>
    <xf numFmtId="188" fontId="20" fillId="38" borderId="38" xfId="42" applyNumberFormat="1" applyFont="1" applyFill="1" applyBorder="1" applyAlignment="1">
      <alignment horizontal="right" vertical="center" wrapText="1"/>
    </xf>
    <xf numFmtId="0" fontId="20" fillId="38" borderId="38" xfId="0" applyNumberFormat="1" applyFont="1" applyFill="1" applyBorder="1" applyAlignment="1">
      <alignment horizontal="left" vertical="center" wrapText="1"/>
    </xf>
    <xf numFmtId="0" fontId="28" fillId="36" borderId="14" xfId="0" applyFont="1" applyFill="1" applyBorder="1" applyAlignment="1" applyProtection="1">
      <alignment horizontal="center" vertical="top" wrapText="1"/>
      <protection/>
    </xf>
    <xf numFmtId="0" fontId="28" fillId="36" borderId="21" xfId="0" applyFont="1" applyFill="1" applyBorder="1" applyAlignment="1" applyProtection="1">
      <alignment horizontal="center" vertical="top" wrapText="1"/>
      <protection/>
    </xf>
    <xf numFmtId="0" fontId="29" fillId="0" borderId="38" xfId="0" applyFont="1" applyFill="1" applyBorder="1" applyAlignment="1" applyProtection="1">
      <alignment horizontal="left" vertical="center" wrapText="1"/>
      <protection/>
    </xf>
    <xf numFmtId="0" fontId="91" fillId="0" borderId="38" xfId="0" applyFont="1" applyBorder="1" applyAlignment="1">
      <alignment vertical="center" wrapText="1"/>
    </xf>
    <xf numFmtId="0" fontId="29" fillId="0" borderId="38" xfId="0" applyFont="1" applyBorder="1" applyAlignment="1">
      <alignment horizontal="center" vertical="center" wrapText="1"/>
    </xf>
    <xf numFmtId="0" fontId="29" fillId="0" borderId="38" xfId="0" applyNumberFormat="1" applyFont="1" applyBorder="1" applyAlignment="1">
      <alignment horizontal="center" vertical="center" wrapText="1"/>
    </xf>
    <xf numFmtId="0" fontId="91" fillId="0" borderId="38" xfId="0" applyFont="1" applyBorder="1" applyAlignment="1">
      <alignment horizontal="justify" vertical="center" wrapText="1"/>
    </xf>
    <xf numFmtId="0" fontId="20" fillId="38" borderId="38" xfId="0" applyFont="1" applyFill="1" applyBorder="1" applyAlignment="1">
      <alignment horizontal="center" vertical="center" wrapText="1"/>
    </xf>
    <xf numFmtId="0" fontId="4" fillId="12" borderId="38" xfId="0" applyFont="1" applyFill="1" applyBorder="1" applyAlignment="1" applyProtection="1">
      <alignment vertical="center" wrapText="1"/>
      <protection/>
    </xf>
    <xf numFmtId="0" fontId="26" fillId="12" borderId="38" xfId="0" applyFont="1" applyFill="1" applyBorder="1" applyAlignment="1">
      <alignment horizontal="center" vertical="center" wrapText="1"/>
    </xf>
    <xf numFmtId="187" fontId="4" fillId="12" borderId="38" xfId="0" applyNumberFormat="1" applyFont="1" applyFill="1" applyBorder="1" applyAlignment="1" applyProtection="1">
      <alignment horizontal="center" vertical="center" wrapText="1"/>
      <protection/>
    </xf>
    <xf numFmtId="0" fontId="4" fillId="12" borderId="38" xfId="0" applyFont="1" applyFill="1" applyBorder="1" applyAlignment="1">
      <alignment vertical="center" wrapText="1"/>
    </xf>
    <xf numFmtId="0" fontId="29" fillId="0" borderId="39" xfId="0" applyFont="1" applyFill="1" applyBorder="1" applyAlignment="1" applyProtection="1">
      <alignment horizontal="center" vertical="center" wrapText="1"/>
      <protection/>
    </xf>
    <xf numFmtId="187" fontId="29" fillId="0" borderId="40" xfId="0" applyNumberFormat="1" applyFont="1" applyFill="1" applyBorder="1" applyAlignment="1" applyProtection="1">
      <alignment horizontal="right" vertical="top" wrapText="1"/>
      <protection/>
    </xf>
    <xf numFmtId="187" fontId="29" fillId="0" borderId="39" xfId="0" applyNumberFormat="1" applyFont="1" applyFill="1" applyBorder="1" applyAlignment="1" applyProtection="1">
      <alignment horizontal="center" vertical="center" wrapText="1"/>
      <protection/>
    </xf>
    <xf numFmtId="0" fontId="29" fillId="0" borderId="39" xfId="0" applyFont="1" applyFill="1" applyBorder="1" applyAlignment="1">
      <alignment horizontal="center" vertical="center" wrapText="1"/>
    </xf>
    <xf numFmtId="188" fontId="29" fillId="0" borderId="38" xfId="42" applyNumberFormat="1" applyFont="1" applyBorder="1" applyAlignment="1">
      <alignment horizontal="center" vertical="center" wrapText="1"/>
    </xf>
    <xf numFmtId="0" fontId="29" fillId="0" borderId="38" xfId="0" applyFont="1" applyFill="1" applyBorder="1" applyAlignment="1">
      <alignment horizontal="left" vertical="center" wrapText="1"/>
    </xf>
    <xf numFmtId="0" fontId="29" fillId="33" borderId="39" xfId="0" applyFont="1" applyFill="1" applyBorder="1" applyAlignment="1" applyProtection="1">
      <alignment vertical="top" wrapText="1"/>
      <protection/>
    </xf>
    <xf numFmtId="187" fontId="29" fillId="0" borderId="38" xfId="0" applyNumberFormat="1" applyFont="1" applyFill="1" applyBorder="1" applyAlignment="1" applyProtection="1">
      <alignment horizontal="right" vertical="top" wrapText="1"/>
      <protection/>
    </xf>
    <xf numFmtId="188" fontId="29" fillId="38" borderId="38" xfId="59" applyNumberFormat="1" applyFont="1" applyFill="1" applyBorder="1" applyAlignment="1" applyProtection="1">
      <alignment horizontal="right" vertical="center"/>
      <protection locked="0"/>
    </xf>
    <xf numFmtId="0" fontId="20" fillId="33" borderId="41" xfId="0" applyFont="1" applyFill="1" applyBorder="1" applyAlignment="1">
      <alignment horizontal="left" vertical="center" wrapText="1"/>
    </xf>
    <xf numFmtId="188" fontId="20" fillId="38" borderId="41" xfId="42" applyNumberFormat="1" applyFont="1" applyFill="1" applyBorder="1" applyAlignment="1">
      <alignment horizontal="right" vertical="center" wrapText="1"/>
    </xf>
    <xf numFmtId="0" fontId="20" fillId="33" borderId="39" xfId="0" applyFont="1" applyFill="1" applyBorder="1" applyAlignment="1">
      <alignment horizontal="left" vertical="center" wrapText="1"/>
    </xf>
    <xf numFmtId="188" fontId="29" fillId="38" borderId="39" xfId="59" applyNumberFormat="1" applyFont="1" applyFill="1" applyBorder="1" applyAlignment="1" applyProtection="1">
      <alignment horizontal="right" vertical="center"/>
      <protection locked="0"/>
    </xf>
    <xf numFmtId="0" fontId="20" fillId="33" borderId="42" xfId="0" applyFont="1" applyFill="1" applyBorder="1" applyAlignment="1">
      <alignment horizontal="left" vertical="center" wrapText="1"/>
    </xf>
    <xf numFmtId="188" fontId="20" fillId="38" borderId="42" xfId="42" applyNumberFormat="1" applyFont="1" applyFill="1" applyBorder="1" applyAlignment="1">
      <alignment horizontal="right" vertical="center" wrapText="1"/>
    </xf>
    <xf numFmtId="0" fontId="82" fillId="0" borderId="0" xfId="0" applyFont="1" applyFill="1" applyBorder="1" applyAlignment="1">
      <alignment/>
    </xf>
    <xf numFmtId="193" fontId="82" fillId="0" borderId="38" xfId="0" applyNumberFormat="1" applyFont="1" applyBorder="1" applyAlignment="1">
      <alignment horizontal="left" vertical="center"/>
    </xf>
    <xf numFmtId="188" fontId="29" fillId="33" borderId="38" xfId="0" applyNumberFormat="1" applyFont="1" applyFill="1" applyBorder="1" applyAlignment="1" applyProtection="1">
      <alignment horizontal="right" vertical="center" wrapText="1"/>
      <protection/>
    </xf>
    <xf numFmtId="0" fontId="82" fillId="0" borderId="38" xfId="0" applyFont="1" applyFill="1" applyBorder="1" applyAlignment="1">
      <alignment/>
    </xf>
    <xf numFmtId="187" fontId="29" fillId="0" borderId="39" xfId="0" applyNumberFormat="1" applyFont="1" applyFill="1" applyBorder="1" applyAlignment="1" applyProtection="1">
      <alignment vertical="top" wrapText="1"/>
      <protection/>
    </xf>
    <xf numFmtId="0" fontId="20" fillId="38" borderId="42" xfId="0" applyFont="1" applyFill="1" applyBorder="1" applyAlignment="1">
      <alignment horizontal="left" vertical="center" wrapText="1"/>
    </xf>
    <xf numFmtId="188" fontId="20" fillId="38" borderId="42" xfId="42" applyNumberFormat="1" applyFont="1" applyFill="1" applyBorder="1" applyAlignment="1">
      <alignment vertical="center" wrapText="1"/>
    </xf>
    <xf numFmtId="188" fontId="20" fillId="38" borderId="38" xfId="42" applyNumberFormat="1" applyFont="1" applyFill="1" applyBorder="1" applyAlignment="1">
      <alignment vertical="center" wrapText="1"/>
    </xf>
    <xf numFmtId="0" fontId="29" fillId="33" borderId="38" xfId="0" applyFont="1" applyFill="1" applyBorder="1" applyAlignment="1" applyProtection="1">
      <alignment horizontal="left" vertical="center" wrapText="1"/>
      <protection/>
    </xf>
    <xf numFmtId="187" fontId="29" fillId="0" borderId="38" xfId="0" applyNumberFormat="1" applyFont="1" applyFill="1" applyBorder="1" applyAlignment="1" applyProtection="1">
      <alignment vertical="top" wrapText="1"/>
      <protection/>
    </xf>
    <xf numFmtId="0" fontId="29" fillId="0" borderId="38" xfId="0" applyFont="1" applyFill="1" applyBorder="1" applyAlignment="1">
      <alignment horizontal="left" vertical="center"/>
    </xf>
    <xf numFmtId="187" fontId="29" fillId="0" borderId="40" xfId="0" applyNumberFormat="1" applyFont="1" applyFill="1" applyBorder="1" applyAlignment="1" applyProtection="1">
      <alignment horizontal="center" vertical="center" wrapText="1"/>
      <protection/>
    </xf>
    <xf numFmtId="0" fontId="82" fillId="0" borderId="38" xfId="0" applyFont="1" applyFill="1" applyBorder="1" applyAlignment="1">
      <alignment horizontal="center" vertical="center"/>
    </xf>
    <xf numFmtId="0" fontId="29" fillId="33" borderId="38" xfId="0" applyNumberFormat="1" applyFont="1" applyFill="1" applyBorder="1" applyAlignment="1">
      <alignment horizontal="center" vertical="center" wrapText="1"/>
    </xf>
    <xf numFmtId="0" fontId="0" fillId="10" borderId="26" xfId="0" applyFill="1" applyBorder="1" applyAlignment="1">
      <alignment/>
    </xf>
    <xf numFmtId="0" fontId="90" fillId="10" borderId="27" xfId="0" applyFont="1" applyFill="1" applyBorder="1" applyAlignment="1">
      <alignment/>
    </xf>
    <xf numFmtId="0" fontId="0" fillId="10" borderId="27" xfId="0" applyFill="1" applyBorder="1" applyAlignment="1">
      <alignment/>
    </xf>
    <xf numFmtId="0" fontId="0" fillId="10" borderId="28" xfId="0" applyFill="1" applyBorder="1" applyAlignment="1">
      <alignment/>
    </xf>
    <xf numFmtId="0" fontId="3" fillId="10" borderId="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15" fillId="33" borderId="14" xfId="0" applyFont="1" applyFill="1" applyBorder="1" applyAlignment="1" applyProtection="1">
      <alignment vertical="top" wrapText="1"/>
      <protection/>
    </xf>
    <xf numFmtId="4" fontId="16" fillId="33" borderId="14" xfId="0" applyNumberFormat="1" applyFont="1" applyFill="1" applyBorder="1" applyAlignment="1" applyProtection="1">
      <alignment vertical="top" wrapText="1"/>
      <protection/>
    </xf>
    <xf numFmtId="0" fontId="3" fillId="33" borderId="43" xfId="0" applyFont="1" applyFill="1" applyBorder="1" applyAlignment="1" applyProtection="1">
      <alignment horizontal="right" vertical="center" wrapText="1"/>
      <protection/>
    </xf>
    <xf numFmtId="0" fontId="15" fillId="33" borderId="31" xfId="0" applyFont="1" applyFill="1" applyBorder="1" applyAlignment="1" applyProtection="1">
      <alignment vertical="top" wrapText="1"/>
      <protection/>
    </xf>
    <xf numFmtId="0" fontId="15" fillId="33" borderId="44" xfId="0" applyFont="1" applyFill="1" applyBorder="1" applyAlignment="1" applyProtection="1">
      <alignment vertical="top" wrapText="1"/>
      <protection/>
    </xf>
    <xf numFmtId="0" fontId="2" fillId="33" borderId="45" xfId="0" applyFont="1" applyFill="1" applyBorder="1" applyAlignment="1" applyProtection="1">
      <alignment vertical="top" wrapText="1"/>
      <protection/>
    </xf>
    <xf numFmtId="0" fontId="15" fillId="33" borderId="46" xfId="0" applyFont="1" applyFill="1" applyBorder="1" applyAlignment="1" applyProtection="1">
      <alignment vertical="top" wrapText="1"/>
      <protection/>
    </xf>
    <xf numFmtId="0" fontId="2" fillId="33" borderId="47" xfId="0" applyFont="1" applyFill="1" applyBorder="1" applyAlignment="1" applyProtection="1">
      <alignment vertical="top" wrapText="1"/>
      <protection/>
    </xf>
    <xf numFmtId="17" fontId="15" fillId="33" borderId="10" xfId="0" applyNumberFormat="1" applyFont="1" applyFill="1" applyBorder="1" applyAlignment="1" applyProtection="1">
      <alignment vertical="top" wrapText="1"/>
      <protection/>
    </xf>
    <xf numFmtId="4" fontId="15" fillId="33" borderId="36" xfId="0" applyNumberFormat="1" applyFont="1" applyFill="1" applyBorder="1" applyAlignment="1" applyProtection="1">
      <alignment vertical="top" wrapText="1"/>
      <protection/>
    </xf>
    <xf numFmtId="0" fontId="2" fillId="33" borderId="48" xfId="0" applyFont="1" applyFill="1" applyBorder="1" applyAlignment="1" applyProtection="1">
      <alignment vertical="top" wrapText="1"/>
      <protection/>
    </xf>
    <xf numFmtId="4" fontId="16" fillId="33" borderId="36" xfId="0" applyNumberFormat="1" applyFont="1" applyFill="1" applyBorder="1" applyAlignment="1" applyProtection="1">
      <alignment vertical="top" wrapText="1"/>
      <protection/>
    </xf>
    <xf numFmtId="0" fontId="2" fillId="33" borderId="49" xfId="0" applyFont="1" applyFill="1" applyBorder="1" applyAlignment="1" applyProtection="1">
      <alignment vertical="top" wrapText="1"/>
      <protection/>
    </xf>
    <xf numFmtId="0" fontId="3" fillId="33" borderId="18"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196" fontId="80" fillId="0" borderId="0" xfId="0" applyNumberFormat="1" applyFont="1" applyAlignment="1">
      <alignment/>
    </xf>
    <xf numFmtId="196" fontId="80" fillId="0" borderId="0" xfId="42" applyNumberFormat="1" applyFont="1" applyAlignment="1">
      <alignment/>
    </xf>
    <xf numFmtId="0" fontId="3" fillId="33" borderId="23" xfId="0" applyFont="1" applyFill="1" applyBorder="1" applyAlignment="1" applyProtection="1">
      <alignment horizontal="right" vertical="center" wrapText="1"/>
      <protection/>
    </xf>
    <xf numFmtId="0" fontId="15" fillId="33" borderId="50" xfId="0" applyFont="1" applyFill="1" applyBorder="1" applyAlignment="1" applyProtection="1">
      <alignment vertical="top" wrapText="1"/>
      <protection/>
    </xf>
    <xf numFmtId="0" fontId="15" fillId="33" borderId="51" xfId="0" applyFont="1" applyFill="1" applyBorder="1" applyAlignment="1" applyProtection="1">
      <alignment vertical="top" wrapText="1"/>
      <protection/>
    </xf>
    <xf numFmtId="4" fontId="2" fillId="0" borderId="35" xfId="0" applyNumberFormat="1" applyFont="1" applyFill="1" applyBorder="1" applyAlignment="1" applyProtection="1">
      <alignment horizontal="right" vertical="center" wrapText="1"/>
      <protection/>
    </xf>
    <xf numFmtId="0" fontId="92" fillId="10" borderId="0" xfId="0" applyFont="1" applyFill="1" applyBorder="1" applyAlignment="1" applyProtection="1">
      <alignment vertical="top" wrapText="1"/>
      <protection/>
    </xf>
    <xf numFmtId="0" fontId="93" fillId="33" borderId="14" xfId="0" applyFont="1" applyFill="1" applyBorder="1" applyAlignment="1" applyProtection="1">
      <alignment horizontal="left" vertical="top" wrapText="1"/>
      <protection locked="0"/>
    </xf>
    <xf numFmtId="4" fontId="93" fillId="0" borderId="35" xfId="0" applyNumberFormat="1" applyFont="1" applyFill="1" applyBorder="1" applyAlignment="1" applyProtection="1">
      <alignment horizontal="right" vertical="center" wrapText="1"/>
      <protection/>
    </xf>
    <xf numFmtId="4" fontId="93" fillId="0" borderId="36" xfId="0" applyNumberFormat="1" applyFont="1" applyFill="1" applyBorder="1" applyAlignment="1" applyProtection="1">
      <alignment horizontal="right" vertical="center" wrapText="1"/>
      <protection/>
    </xf>
    <xf numFmtId="4" fontId="93" fillId="0" borderId="35" xfId="0" applyNumberFormat="1" applyFont="1" applyFill="1" applyBorder="1" applyAlignment="1" applyProtection="1">
      <alignment horizontal="center" vertical="center" wrapText="1"/>
      <protection/>
    </xf>
    <xf numFmtId="4" fontId="94" fillId="33" borderId="36" xfId="0" applyNumberFormat="1" applyFont="1" applyFill="1" applyBorder="1" applyAlignment="1" applyProtection="1">
      <alignment vertical="top" wrapText="1"/>
      <protection/>
    </xf>
    <xf numFmtId="0" fontId="30" fillId="33" borderId="14" xfId="0" applyFont="1" applyFill="1" applyBorder="1" applyAlignment="1" applyProtection="1">
      <alignment vertical="top" wrapText="1"/>
      <protection locked="0"/>
    </xf>
    <xf numFmtId="17" fontId="95" fillId="33" borderId="10" xfId="0" applyNumberFormat="1" applyFont="1" applyFill="1" applyBorder="1" applyAlignment="1" applyProtection="1">
      <alignment vertical="top" wrapText="1"/>
      <protection/>
    </xf>
    <xf numFmtId="0" fontId="92" fillId="33" borderId="11" xfId="0" applyFont="1" applyFill="1" applyBorder="1" applyAlignment="1" applyProtection="1">
      <alignment horizontal="left"/>
      <protection/>
    </xf>
    <xf numFmtId="0" fontId="95" fillId="13" borderId="14" xfId="0" applyFont="1" applyFill="1" applyBorder="1" applyAlignment="1" applyProtection="1">
      <alignment horizontal="center"/>
      <protection/>
    </xf>
    <xf numFmtId="188" fontId="29" fillId="33" borderId="38" xfId="59" applyNumberFormat="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wrapText="1"/>
      <protection/>
    </xf>
    <xf numFmtId="0" fontId="29" fillId="33" borderId="38" xfId="0" applyFont="1" applyFill="1" applyBorder="1" applyAlignment="1" applyProtection="1">
      <alignment horizontal="center" vertical="center" wrapText="1"/>
      <protection/>
    </xf>
    <xf numFmtId="0" fontId="20" fillId="33" borderId="38" xfId="0" applyFont="1" applyFill="1" applyBorder="1" applyAlignment="1">
      <alignment horizontal="center" vertical="center" wrapText="1"/>
    </xf>
    <xf numFmtId="0" fontId="28" fillId="35" borderId="0" xfId="0" applyFont="1" applyFill="1" applyBorder="1" applyAlignment="1" applyProtection="1">
      <alignment horizontal="left" vertical="top" wrapText="1"/>
      <protection/>
    </xf>
    <xf numFmtId="194" fontId="20" fillId="33" borderId="38" xfId="0" applyNumberFormat="1" applyFont="1" applyFill="1" applyBorder="1" applyAlignment="1">
      <alignment horizontal="center" vertical="center" wrapText="1"/>
    </xf>
    <xf numFmtId="0" fontId="15" fillId="35" borderId="0" xfId="0" applyFont="1" applyFill="1" applyBorder="1" applyAlignment="1" applyProtection="1">
      <alignment horizontal="center" wrapText="1"/>
      <protection/>
    </xf>
    <xf numFmtId="0" fontId="16" fillId="35" borderId="0" xfId="0" applyFont="1" applyFill="1" applyBorder="1" applyAlignment="1" applyProtection="1">
      <alignment horizontal="left" vertical="top" wrapText="1"/>
      <protection/>
    </xf>
    <xf numFmtId="0" fontId="0" fillId="0" borderId="24" xfId="0" applyBorder="1" applyAlignment="1">
      <alignment horizontal="left" vertical="top" wrapText="1"/>
    </xf>
    <xf numFmtId="0" fontId="0" fillId="0" borderId="0" xfId="0" applyAlignment="1">
      <alignment horizontal="left" vertical="top" wrapText="1"/>
    </xf>
    <xf numFmtId="17" fontId="92" fillId="33" borderId="11" xfId="0" applyNumberFormat="1" applyFont="1" applyFill="1" applyBorder="1" applyAlignment="1" applyProtection="1">
      <alignment horizontal="left"/>
      <protection/>
    </xf>
    <xf numFmtId="0" fontId="0" fillId="0" borderId="0" xfId="0" applyAlignment="1">
      <alignment wrapText="1"/>
    </xf>
    <xf numFmtId="0" fontId="0" fillId="0" borderId="0" xfId="0" applyAlignment="1">
      <alignment/>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0" fillId="0" borderId="0" xfId="0" applyAlignment="1">
      <alignment/>
    </xf>
    <xf numFmtId="0" fontId="15" fillId="33" borderId="11"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3" fillId="10" borderId="30" xfId="0" applyFont="1" applyFill="1" applyBorder="1" applyAlignment="1" applyProtection="1">
      <alignment vertical="center" wrapText="1"/>
      <protection/>
    </xf>
    <xf numFmtId="0" fontId="15" fillId="0" borderId="14" xfId="0" applyFont="1" applyFill="1" applyBorder="1" applyAlignment="1">
      <alignment vertical="top" wrapText="1"/>
    </xf>
    <xf numFmtId="0" fontId="3" fillId="10" borderId="0" xfId="0" applyFont="1" applyFill="1" applyBorder="1" applyAlignment="1" applyProtection="1">
      <alignment horizontal="left" vertical="center" wrapText="1"/>
      <protection/>
    </xf>
    <xf numFmtId="0" fontId="15" fillId="35" borderId="0" xfId="0" applyFont="1" applyFill="1" applyBorder="1" applyAlignment="1" applyProtection="1">
      <alignment horizontal="center" wrapText="1"/>
      <protection/>
    </xf>
    <xf numFmtId="0" fontId="27" fillId="10" borderId="0" xfId="0" applyFont="1" applyFill="1" applyBorder="1" applyAlignment="1" applyProtection="1">
      <alignment horizontal="left"/>
      <protection/>
    </xf>
    <xf numFmtId="0" fontId="16" fillId="35" borderId="0" xfId="0" applyFont="1" applyFill="1" applyBorder="1" applyAlignment="1" applyProtection="1">
      <alignment horizontal="left" vertical="top" wrapText="1"/>
      <protection/>
    </xf>
    <xf numFmtId="188" fontId="29" fillId="33" borderId="38" xfId="59" applyNumberFormat="1" applyFont="1" applyFill="1" applyBorder="1" applyAlignment="1" applyProtection="1">
      <alignment vertical="center"/>
      <protection locked="0"/>
    </xf>
    <xf numFmtId="0" fontId="16" fillId="35" borderId="36" xfId="0" applyFont="1" applyFill="1" applyBorder="1" applyAlignment="1" applyProtection="1">
      <alignment horizontal="center" vertical="center" wrapText="1"/>
      <protection/>
    </xf>
    <xf numFmtId="0" fontId="3" fillId="10" borderId="29" xfId="0" applyFont="1" applyFill="1" applyBorder="1" applyAlignment="1" applyProtection="1">
      <alignment vertical="center" wrapText="1"/>
      <protection/>
    </xf>
    <xf numFmtId="0" fontId="3" fillId="10" borderId="14"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5" fillId="33" borderId="31"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23" fillId="10" borderId="0" xfId="0" applyFont="1" applyFill="1" applyBorder="1" applyAlignment="1" applyProtection="1">
      <alignment horizontal="left" vertical="center" wrapText="1"/>
      <protection/>
    </xf>
    <xf numFmtId="0" fontId="15" fillId="0" borderId="0" xfId="0" applyFont="1" applyAlignment="1">
      <alignment horizontal="left" vertical="center"/>
    </xf>
    <xf numFmtId="0" fontId="15" fillId="0" borderId="0" xfId="0" applyFont="1" applyAlignment="1">
      <alignment/>
    </xf>
    <xf numFmtId="0" fontId="57" fillId="0" borderId="0" xfId="0" applyFont="1" applyAlignment="1">
      <alignment/>
    </xf>
    <xf numFmtId="0" fontId="15" fillId="10" borderId="23" xfId="0" applyFont="1" applyFill="1" applyBorder="1" applyAlignment="1" applyProtection="1">
      <alignment horizontal="left" vertical="center"/>
      <protection/>
    </xf>
    <xf numFmtId="0" fontId="15" fillId="10" borderId="23" xfId="0" applyFont="1" applyFill="1" applyBorder="1" applyAlignment="1" applyProtection="1">
      <alignment/>
      <protection/>
    </xf>
    <xf numFmtId="0" fontId="57" fillId="10" borderId="23" xfId="0" applyFont="1" applyFill="1" applyBorder="1" applyAlignment="1">
      <alignment/>
    </xf>
    <xf numFmtId="0" fontId="15" fillId="10" borderId="0" xfId="0" applyFont="1" applyFill="1" applyBorder="1" applyAlignment="1" applyProtection="1">
      <alignment horizontal="left" vertical="center"/>
      <protection/>
    </xf>
    <xf numFmtId="0" fontId="57" fillId="10" borderId="0" xfId="0" applyFont="1" applyFill="1" applyBorder="1" applyAlignment="1">
      <alignment/>
    </xf>
    <xf numFmtId="0" fontId="16" fillId="10" borderId="0" xfId="0" applyFont="1" applyFill="1" applyBorder="1" applyAlignment="1" applyProtection="1">
      <alignment horizontal="center" vertical="center" wrapText="1"/>
      <protection/>
    </xf>
    <xf numFmtId="0" fontId="15" fillId="0" borderId="15" xfId="0" applyFont="1" applyFill="1" applyBorder="1" applyAlignment="1" applyProtection="1">
      <alignment vertical="top" wrapText="1"/>
      <protection/>
    </xf>
    <xf numFmtId="0" fontId="57" fillId="33" borderId="28" xfId="0" applyFont="1" applyFill="1" applyBorder="1" applyAlignment="1">
      <alignment vertical="center"/>
    </xf>
    <xf numFmtId="0" fontId="15" fillId="0" borderId="30" xfId="0" applyFont="1" applyFill="1" applyBorder="1" applyAlignment="1" applyProtection="1">
      <alignment vertical="top" wrapText="1"/>
      <protection/>
    </xf>
    <xf numFmtId="0" fontId="57" fillId="33" borderId="20" xfId="0" applyFont="1" applyFill="1" applyBorder="1" applyAlignment="1">
      <alignment vertical="center"/>
    </xf>
    <xf numFmtId="0" fontId="15" fillId="33" borderId="11" xfId="0" applyFont="1" applyFill="1" applyBorder="1" applyAlignment="1" applyProtection="1">
      <alignment horizontal="left" vertical="top" wrapText="1"/>
      <protection/>
    </xf>
    <xf numFmtId="0" fontId="57" fillId="33" borderId="19" xfId="0" applyFont="1" applyFill="1" applyBorder="1" applyAlignment="1">
      <alignment vertical="center" wrapText="1"/>
    </xf>
    <xf numFmtId="0" fontId="15" fillId="0" borderId="11" xfId="0" applyFont="1" applyFill="1" applyBorder="1" applyAlignment="1" applyProtection="1">
      <alignment vertical="top" wrapText="1"/>
      <protection/>
    </xf>
    <xf numFmtId="0" fontId="15" fillId="33" borderId="53" xfId="0" applyFont="1" applyFill="1" applyBorder="1" applyAlignment="1" applyProtection="1">
      <alignment horizontal="left" vertical="center" wrapText="1"/>
      <protection/>
    </xf>
    <xf numFmtId="0" fontId="15" fillId="0" borderId="29" xfId="0" applyFont="1" applyFill="1" applyBorder="1" applyAlignment="1" applyProtection="1">
      <alignment vertical="top" wrapText="1"/>
      <protection/>
    </xf>
    <xf numFmtId="0" fontId="15" fillId="39" borderId="52"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center" wrapText="1"/>
      <protection/>
    </xf>
    <xf numFmtId="0" fontId="15" fillId="40" borderId="0" xfId="0" applyFont="1" applyFill="1" applyBorder="1" applyAlignment="1" applyProtection="1">
      <alignment horizontal="right" vertical="center"/>
      <protection/>
    </xf>
    <xf numFmtId="0" fontId="15" fillId="33" borderId="11" xfId="0" applyFont="1" applyFill="1" applyBorder="1" applyAlignment="1" applyProtection="1">
      <alignment horizontal="left" vertical="center" wrapText="1"/>
      <protection/>
    </xf>
    <xf numFmtId="0" fontId="16" fillId="10" borderId="0" xfId="0" applyFont="1" applyFill="1" applyBorder="1" applyAlignment="1" applyProtection="1">
      <alignment horizontal="right"/>
      <protection/>
    </xf>
    <xf numFmtId="0" fontId="11" fillId="10" borderId="0" xfId="0" applyFont="1" applyFill="1" applyBorder="1" applyAlignment="1" applyProtection="1">
      <alignment/>
      <protection/>
    </xf>
    <xf numFmtId="0" fontId="15" fillId="10" borderId="0" xfId="0" applyFont="1" applyFill="1" applyBorder="1" applyAlignment="1" applyProtection="1">
      <alignment horizontal="right"/>
      <protection/>
    </xf>
    <xf numFmtId="0" fontId="15" fillId="33" borderId="23" xfId="0" applyFont="1" applyFill="1" applyBorder="1" applyAlignment="1" applyProtection="1">
      <alignment horizontal="left" vertical="top" wrapText="1"/>
      <protection/>
    </xf>
    <xf numFmtId="0" fontId="15" fillId="0" borderId="10" xfId="0" applyFont="1" applyFill="1" applyBorder="1" applyAlignment="1" applyProtection="1">
      <alignment horizontal="left" vertical="top" wrapText="1"/>
      <protection/>
    </xf>
    <xf numFmtId="0" fontId="57" fillId="33" borderId="14" xfId="0" applyFont="1" applyFill="1" applyBorder="1" applyAlignment="1">
      <alignment horizontal="center" vertical="center"/>
    </xf>
    <xf numFmtId="0" fontId="15" fillId="33" borderId="12" xfId="0" applyFont="1" applyFill="1" applyBorder="1" applyAlignment="1" applyProtection="1">
      <alignment horizontal="left" vertical="top" wrapText="1"/>
      <protection/>
    </xf>
    <xf numFmtId="0" fontId="15" fillId="0" borderId="11" xfId="0" applyFont="1" applyFill="1" applyBorder="1" applyAlignment="1" applyProtection="1">
      <alignment horizontal="left" vertical="top" wrapText="1"/>
      <protection/>
    </xf>
    <xf numFmtId="0" fontId="15" fillId="0" borderId="11" xfId="0" applyFont="1" applyFill="1" applyBorder="1" applyAlignment="1" applyProtection="1">
      <alignment horizontal="left" vertical="center" wrapText="1"/>
      <protection/>
    </xf>
    <xf numFmtId="0" fontId="15" fillId="33" borderId="0" xfId="0" applyFont="1" applyFill="1" applyBorder="1" applyAlignment="1" applyProtection="1">
      <alignment horizontal="center" vertical="top" wrapText="1"/>
      <protection/>
    </xf>
    <xf numFmtId="0" fontId="15" fillId="33" borderId="12" xfId="0" applyFont="1" applyFill="1" applyBorder="1" applyAlignment="1" applyProtection="1">
      <alignment horizontal="center" vertical="top" wrapText="1"/>
      <protection/>
    </xf>
    <xf numFmtId="0" fontId="15" fillId="0" borderId="12" xfId="0" applyFont="1" applyFill="1" applyBorder="1" applyAlignment="1" applyProtection="1">
      <alignment horizontal="left" vertical="center" wrapText="1"/>
      <protection/>
    </xf>
    <xf numFmtId="0" fontId="15" fillId="40" borderId="29" xfId="0" applyFont="1" applyFill="1" applyBorder="1" applyAlignment="1" applyProtection="1">
      <alignment horizontal="center" vertical="center"/>
      <protection/>
    </xf>
    <xf numFmtId="0" fontId="15" fillId="10" borderId="0" xfId="0" applyFont="1" applyFill="1" applyBorder="1" applyAlignment="1" applyProtection="1">
      <alignment horizontal="right" vertical="center"/>
      <protection/>
    </xf>
    <xf numFmtId="0" fontId="16" fillId="10" borderId="27" xfId="0" applyFont="1" applyFill="1" applyBorder="1" applyAlignment="1" applyProtection="1">
      <alignment horizontal="center" vertical="center" wrapText="1"/>
      <protection/>
    </xf>
    <xf numFmtId="0" fontId="15" fillId="33" borderId="21" xfId="0" applyFont="1" applyFill="1" applyBorder="1" applyAlignment="1" applyProtection="1">
      <alignment horizontal="center" vertical="center" wrapText="1"/>
      <protection/>
    </xf>
    <xf numFmtId="0" fontId="57" fillId="33" borderId="14" xfId="0" applyFont="1" applyFill="1" applyBorder="1" applyAlignment="1">
      <alignment/>
    </xf>
    <xf numFmtId="0" fontId="15" fillId="40" borderId="14" xfId="0" applyFont="1" applyFill="1" applyBorder="1" applyAlignment="1" applyProtection="1">
      <alignment horizontal="left" vertical="center"/>
      <protection/>
    </xf>
    <xf numFmtId="0" fontId="57" fillId="10" borderId="0" xfId="0" applyFont="1" applyFill="1" applyAlignment="1">
      <alignment horizontal="left" vertical="center"/>
    </xf>
    <xf numFmtId="0" fontId="16" fillId="10" borderId="0" xfId="0" applyFont="1" applyFill="1" applyBorder="1" applyAlignment="1" applyProtection="1">
      <alignment/>
      <protection/>
    </xf>
    <xf numFmtId="0" fontId="15" fillId="33" borderId="10" xfId="0" applyFont="1" applyFill="1" applyBorder="1" applyAlignment="1" applyProtection="1">
      <alignment horizontal="left" vertical="top" wrapText="1"/>
      <protection/>
    </xf>
    <xf numFmtId="0" fontId="15" fillId="10" borderId="27" xfId="0" applyFont="1" applyFill="1" applyBorder="1" applyAlignment="1" applyProtection="1">
      <alignment horizontal="left" vertical="center" wrapText="1"/>
      <protection/>
    </xf>
    <xf numFmtId="0" fontId="15" fillId="10" borderId="27" xfId="0" applyFont="1" applyFill="1" applyBorder="1" applyAlignment="1" applyProtection="1">
      <alignment vertical="top" wrapText="1"/>
      <protection/>
    </xf>
    <xf numFmtId="0" fontId="57" fillId="10" borderId="27" xfId="0" applyFont="1" applyFill="1" applyBorder="1" applyAlignment="1">
      <alignment/>
    </xf>
    <xf numFmtId="0" fontId="57" fillId="0" borderId="0" xfId="0" applyFont="1" applyAlignment="1">
      <alignment horizontal="left" vertical="center"/>
    </xf>
    <xf numFmtId="0" fontId="57" fillId="0" borderId="0" xfId="0" applyFont="1" applyAlignment="1">
      <alignment/>
    </xf>
    <xf numFmtId="0" fontId="16" fillId="33" borderId="14"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15" fillId="33" borderId="15" xfId="0" applyFont="1" applyFill="1" applyBorder="1" applyAlignment="1" applyProtection="1">
      <alignment horizontal="left" vertical="center" wrapText="1"/>
      <protection/>
    </xf>
    <xf numFmtId="0" fontId="15" fillId="33" borderId="31" xfId="0" applyFont="1" applyFill="1" applyBorder="1" applyAlignment="1" applyProtection="1">
      <alignment horizontal="center" vertical="center" wrapText="1"/>
      <protection/>
    </xf>
    <xf numFmtId="0" fontId="15" fillId="33" borderId="31" xfId="0" applyFont="1" applyFill="1" applyBorder="1" applyAlignment="1" applyProtection="1">
      <alignment horizontal="left" vertical="center" wrapText="1"/>
      <protection/>
    </xf>
    <xf numFmtId="9" fontId="15" fillId="33" borderId="15" xfId="0" applyNumberFormat="1"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9" fontId="15" fillId="33" borderId="11" xfId="0" applyNumberFormat="1" applyFont="1" applyFill="1" applyBorder="1" applyAlignment="1" applyProtection="1">
      <alignment horizontal="center" vertical="center" wrapText="1"/>
      <protection/>
    </xf>
    <xf numFmtId="0" fontId="15" fillId="10" borderId="0" xfId="0" applyFont="1" applyFill="1" applyBorder="1" applyAlignment="1" applyProtection="1">
      <alignment vertical="center"/>
      <protection/>
    </xf>
    <xf numFmtId="0" fontId="15" fillId="10" borderId="27" xfId="0" applyFont="1" applyFill="1" applyBorder="1" applyAlignment="1" applyProtection="1">
      <alignment vertical="center"/>
      <protection/>
    </xf>
    <xf numFmtId="0" fontId="15" fillId="10" borderId="23" xfId="0" applyFont="1" applyFill="1" applyBorder="1" applyAlignment="1">
      <alignment/>
    </xf>
    <xf numFmtId="0" fontId="15" fillId="10" borderId="0" xfId="0" applyFont="1" applyFill="1" applyBorder="1" applyAlignment="1">
      <alignment/>
    </xf>
    <xf numFmtId="0" fontId="16" fillId="0" borderId="19" xfId="0" applyFont="1" applyFill="1" applyBorder="1" applyAlignment="1">
      <alignment horizontal="center" vertical="top" wrapText="1"/>
    </xf>
    <xf numFmtId="0" fontId="15" fillId="0" borderId="28" xfId="0" applyFont="1" applyFill="1" applyBorder="1" applyAlignment="1">
      <alignment vertical="top" wrapText="1"/>
    </xf>
    <xf numFmtId="0" fontId="15" fillId="0" borderId="25" xfId="0" applyFont="1" applyFill="1" applyBorder="1" applyAlignment="1">
      <alignment vertical="top" wrapText="1"/>
    </xf>
    <xf numFmtId="0" fontId="15" fillId="0" borderId="19" xfId="0" applyFont="1" applyFill="1" applyBorder="1" applyAlignment="1">
      <alignment vertical="top" wrapText="1"/>
    </xf>
    <xf numFmtId="0" fontId="16" fillId="0" borderId="14" xfId="0" applyFont="1" applyFill="1" applyBorder="1" applyAlignment="1">
      <alignment horizontal="center" vertical="top"/>
    </xf>
    <xf numFmtId="0" fontId="15" fillId="0" borderId="14" xfId="0" applyFont="1" applyFill="1" applyBorder="1" applyAlignment="1">
      <alignment wrapText="1"/>
    </xf>
    <xf numFmtId="0" fontId="15" fillId="0" borderId="14" xfId="0" applyFont="1" applyFill="1" applyBorder="1" applyAlignment="1">
      <alignment vertical="center" wrapText="1"/>
    </xf>
    <xf numFmtId="0" fontId="15" fillId="0" borderId="43" xfId="0" applyFont="1" applyFill="1" applyBorder="1" applyAlignment="1">
      <alignment vertical="top" wrapText="1"/>
    </xf>
    <xf numFmtId="0" fontId="15" fillId="0" borderId="43" xfId="0" applyFont="1" applyFill="1" applyBorder="1" applyAlignment="1">
      <alignment wrapText="1"/>
    </xf>
    <xf numFmtId="0" fontId="15" fillId="10" borderId="27" xfId="0" applyFont="1" applyFill="1" applyBorder="1" applyAlignment="1">
      <alignment/>
    </xf>
    <xf numFmtId="0" fontId="2" fillId="33" borderId="18" xfId="0"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3" fillId="10" borderId="24" xfId="0" applyFont="1" applyFill="1" applyBorder="1" applyAlignment="1" applyProtection="1">
      <alignment horizontal="right" wrapText="1"/>
      <protection/>
    </xf>
    <xf numFmtId="0" fontId="3" fillId="10" borderId="25"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4" xfId="0" applyFont="1" applyFill="1" applyBorder="1" applyAlignment="1" applyProtection="1">
      <alignment horizontal="right" vertical="top" wrapText="1"/>
      <protection/>
    </xf>
    <xf numFmtId="0" fontId="3" fillId="10" borderId="25"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2" fillId="33" borderId="43" xfId="0" applyFont="1" applyFill="1" applyBorder="1" applyAlignment="1" applyProtection="1">
      <alignment vertical="top" wrapText="1"/>
      <protection locked="0"/>
    </xf>
    <xf numFmtId="0" fontId="2" fillId="33" borderId="21"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3" fontId="2" fillId="33" borderId="43" xfId="0" applyNumberFormat="1" applyFont="1" applyFill="1" applyBorder="1" applyAlignment="1" applyProtection="1">
      <alignment vertical="top" wrapText="1"/>
      <protection locked="0"/>
    </xf>
    <xf numFmtId="3" fontId="2" fillId="33" borderId="21" xfId="0" applyNumberFormat="1" applyFont="1" applyFill="1" applyBorder="1" applyAlignment="1" applyProtection="1">
      <alignment vertical="top" wrapText="1"/>
      <protection locked="0"/>
    </xf>
    <xf numFmtId="3" fontId="2" fillId="33" borderId="19"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27"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34"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wrapText="1"/>
      <protection/>
    </xf>
    <xf numFmtId="0" fontId="2" fillId="33" borderId="55"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4" fontId="16" fillId="0" borderId="43" xfId="0" applyNumberFormat="1" applyFont="1" applyFill="1" applyBorder="1" applyAlignment="1" applyProtection="1">
      <alignment horizontal="left" vertical="center" wrapText="1"/>
      <protection locked="0"/>
    </xf>
    <xf numFmtId="4" fontId="16" fillId="0" borderId="21" xfId="0" applyNumberFormat="1" applyFont="1" applyFill="1" applyBorder="1" applyAlignment="1" applyProtection="1">
      <alignment horizontal="left" vertical="center" wrapText="1"/>
      <protection locked="0"/>
    </xf>
    <xf numFmtId="4" fontId="16" fillId="0" borderId="19" xfId="0" applyNumberFormat="1" applyFont="1" applyFill="1" applyBorder="1" applyAlignment="1" applyProtection="1">
      <alignment horizontal="left" vertical="center" wrapText="1"/>
      <protection locked="0"/>
    </xf>
    <xf numFmtId="0" fontId="15" fillId="33" borderId="43" xfId="0" applyFont="1" applyFill="1" applyBorder="1" applyAlignment="1" applyProtection="1">
      <alignment horizontal="left" vertical="top" wrapText="1"/>
      <protection locked="0"/>
    </xf>
    <xf numFmtId="0" fontId="15" fillId="33" borderId="21" xfId="0" applyFont="1" applyFill="1" applyBorder="1" applyAlignment="1" applyProtection="1">
      <alignment horizontal="left" vertical="top" wrapText="1"/>
      <protection locked="0"/>
    </xf>
    <xf numFmtId="0" fontId="15" fillId="33" borderId="19"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0" fontId="3" fillId="33" borderId="56" xfId="0" applyFont="1" applyFill="1" applyBorder="1" applyAlignment="1" applyProtection="1">
      <alignment horizontal="center" vertical="top" wrapText="1"/>
      <protection/>
    </xf>
    <xf numFmtId="0" fontId="3" fillId="33" borderId="40" xfId="0" applyFont="1" applyFill="1" applyBorder="1" applyAlignment="1" applyProtection="1">
      <alignment horizontal="center" vertical="top" wrapText="1"/>
      <protection/>
    </xf>
    <xf numFmtId="0" fontId="14" fillId="33" borderId="43" xfId="0" applyFont="1" applyFill="1" applyBorder="1" applyAlignment="1" applyProtection="1">
      <alignment horizontal="center"/>
      <protection/>
    </xf>
    <xf numFmtId="0" fontId="14" fillId="33" borderId="21" xfId="0" applyFont="1" applyFill="1" applyBorder="1" applyAlignment="1" applyProtection="1">
      <alignment horizontal="center"/>
      <protection/>
    </xf>
    <xf numFmtId="0" fontId="14" fillId="33" borderId="19" xfId="0" applyFont="1" applyFill="1" applyBorder="1" applyAlignment="1" applyProtection="1">
      <alignment horizontal="center"/>
      <protection/>
    </xf>
    <xf numFmtId="0" fontId="3" fillId="33" borderId="43" xfId="0" applyFont="1" applyFill="1" applyBorder="1" applyAlignment="1" applyProtection="1">
      <alignment horizontal="center" vertical="top" wrapText="1"/>
      <protection/>
    </xf>
    <xf numFmtId="0" fontId="3" fillId="33" borderId="21" xfId="0" applyFont="1" applyFill="1" applyBorder="1" applyAlignment="1" applyProtection="1">
      <alignment horizontal="center" vertical="top" wrapText="1"/>
      <protection/>
    </xf>
    <xf numFmtId="0" fontId="3" fillId="33" borderId="19"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24"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4" fillId="12" borderId="44" xfId="0" applyFont="1" applyFill="1" applyBorder="1" applyAlignment="1">
      <alignment horizontal="center" vertical="top" wrapText="1"/>
    </xf>
    <xf numFmtId="0" fontId="4" fillId="12" borderId="45" xfId="0" applyFont="1" applyFill="1" applyBorder="1" applyAlignment="1">
      <alignment horizontal="center" vertical="top" wrapText="1"/>
    </xf>
    <xf numFmtId="0" fontId="24" fillId="12" borderId="57"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4" fillId="12" borderId="44" xfId="0" applyFont="1" applyFill="1" applyBorder="1" applyAlignment="1" applyProtection="1">
      <alignment horizontal="center" vertical="center" wrapText="1"/>
      <protection/>
    </xf>
    <xf numFmtId="0" fontId="4" fillId="12" borderId="45" xfId="0" applyFont="1" applyFill="1" applyBorder="1" applyAlignment="1" applyProtection="1">
      <alignment horizontal="center" vertical="center" wrapText="1"/>
      <protection/>
    </xf>
    <xf numFmtId="0" fontId="14" fillId="36" borderId="43" xfId="0" applyFont="1" applyFill="1" applyBorder="1" applyAlignment="1" applyProtection="1">
      <alignment horizontal="center"/>
      <protection/>
    </xf>
    <xf numFmtId="0" fontId="14" fillId="36" borderId="21" xfId="0" applyFont="1" applyFill="1" applyBorder="1" applyAlignment="1" applyProtection="1">
      <alignment horizontal="center"/>
      <protection/>
    </xf>
    <xf numFmtId="0" fontId="14" fillId="36" borderId="19" xfId="0" applyFont="1" applyFill="1" applyBorder="1" applyAlignment="1" applyProtection="1">
      <alignment horizontal="center"/>
      <protection/>
    </xf>
    <xf numFmtId="0" fontId="15" fillId="35" borderId="24" xfId="0" applyFont="1" applyFill="1" applyBorder="1" applyAlignment="1" applyProtection="1">
      <alignment horizontal="center" wrapText="1"/>
      <protection/>
    </xf>
    <xf numFmtId="0" fontId="15" fillId="35" borderId="0" xfId="0" applyFont="1" applyFill="1" applyBorder="1" applyAlignment="1" applyProtection="1">
      <alignment horizontal="center" wrapText="1"/>
      <protection/>
    </xf>
    <xf numFmtId="0" fontId="27" fillId="10" borderId="0"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28" fillId="35" borderId="0" xfId="0" applyFont="1" applyFill="1" applyBorder="1" applyAlignment="1" applyProtection="1">
      <alignment horizontal="left" vertical="top" wrapText="1"/>
      <protection/>
    </xf>
    <xf numFmtId="0" fontId="16" fillId="35" borderId="0" xfId="0" applyFont="1" applyFill="1" applyBorder="1" applyAlignment="1" applyProtection="1">
      <alignment horizontal="left" vertical="top" wrapText="1"/>
      <protection/>
    </xf>
    <xf numFmtId="0" fontId="24" fillId="12" borderId="44" xfId="0" applyFont="1" applyFill="1" applyBorder="1" applyAlignment="1">
      <alignment horizontal="center" vertical="center" wrapText="1"/>
    </xf>
    <xf numFmtId="0" fontId="24" fillId="12" borderId="45" xfId="0" applyFont="1" applyFill="1" applyBorder="1" applyAlignment="1">
      <alignment horizontal="center" vertical="center" wrapText="1"/>
    </xf>
    <xf numFmtId="0" fontId="29" fillId="0" borderId="38" xfId="0" applyNumberFormat="1" applyFont="1" applyBorder="1" applyAlignment="1">
      <alignment horizontal="center" vertical="center" wrapText="1"/>
    </xf>
    <xf numFmtId="4" fontId="29" fillId="33" borderId="38" xfId="59" applyNumberFormat="1" applyFont="1" applyFill="1" applyBorder="1" applyAlignment="1" applyProtection="1">
      <alignment horizontal="center" vertical="center"/>
      <protection locked="0"/>
    </xf>
    <xf numFmtId="0" fontId="29" fillId="0" borderId="39"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31" fillId="41" borderId="0" xfId="0" applyFont="1" applyFill="1" applyBorder="1" applyAlignment="1" applyProtection="1">
      <alignment horizontal="left" vertical="center" wrapText="1"/>
      <protection/>
    </xf>
    <xf numFmtId="0" fontId="24" fillId="12" borderId="57" xfId="0" applyFont="1" applyFill="1" applyBorder="1" applyAlignment="1">
      <alignment horizontal="left" vertical="center" wrapText="1"/>
    </xf>
    <xf numFmtId="0" fontId="24" fillId="12" borderId="0" xfId="0" applyFont="1" applyFill="1" applyBorder="1" applyAlignment="1">
      <alignment horizontal="left" vertical="center" wrapText="1"/>
    </xf>
    <xf numFmtId="0" fontId="24" fillId="12" borderId="25" xfId="0" applyFont="1" applyFill="1" applyBorder="1" applyAlignment="1">
      <alignment horizontal="left" vertical="center" wrapText="1"/>
    </xf>
    <xf numFmtId="0" fontId="29" fillId="33" borderId="38" xfId="59" applyFont="1" applyFill="1" applyBorder="1" applyAlignment="1">
      <alignment horizontal="center" vertical="center" wrapText="1"/>
      <protection/>
    </xf>
    <xf numFmtId="0" fontId="29" fillId="0" borderId="38" xfId="0" applyFont="1" applyBorder="1" applyAlignment="1">
      <alignment horizontal="center" vertical="center" wrapText="1"/>
    </xf>
    <xf numFmtId="0" fontId="20" fillId="33" borderId="38" xfId="0" applyFont="1" applyFill="1" applyBorder="1" applyAlignment="1">
      <alignment horizontal="center" vertical="center" wrapText="1"/>
    </xf>
    <xf numFmtId="188" fontId="20" fillId="38" borderId="38" xfId="42" applyNumberFormat="1" applyFont="1" applyFill="1" applyBorder="1" applyAlignment="1">
      <alignment horizontal="center" vertical="center" wrapText="1"/>
    </xf>
    <xf numFmtId="0" fontId="29" fillId="0" borderId="38" xfId="0" applyFont="1" applyFill="1" applyBorder="1" applyAlignment="1">
      <alignment horizontal="center" vertical="center" wrapText="1"/>
    </xf>
    <xf numFmtId="188" fontId="29" fillId="38" borderId="38" xfId="59" applyNumberFormat="1" applyFont="1" applyFill="1" applyBorder="1" applyAlignment="1" applyProtection="1">
      <alignment horizontal="center" vertical="center"/>
      <protection locked="0"/>
    </xf>
    <xf numFmtId="0" fontId="29" fillId="0" borderId="39"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1" xfId="0" applyFont="1" applyBorder="1" applyAlignment="1">
      <alignment horizontal="center" vertical="center" wrapText="1"/>
    </xf>
    <xf numFmtId="0" fontId="20" fillId="33" borderId="39" xfId="0" applyFont="1" applyFill="1" applyBorder="1" applyAlignment="1">
      <alignment horizontal="center" vertical="center" wrapText="1"/>
    </xf>
    <xf numFmtId="0" fontId="20" fillId="33" borderId="42" xfId="0" applyFont="1" applyFill="1" applyBorder="1" applyAlignment="1">
      <alignment horizontal="center" vertical="center" wrapText="1"/>
    </xf>
    <xf numFmtId="0" fontId="20" fillId="33" borderId="41" xfId="0" applyFont="1" applyFill="1" applyBorder="1" applyAlignment="1">
      <alignment horizontal="center" vertical="center" wrapText="1"/>
    </xf>
    <xf numFmtId="188" fontId="20" fillId="38" borderId="39" xfId="42" applyNumberFormat="1" applyFont="1" applyFill="1" applyBorder="1" applyAlignment="1">
      <alignment horizontal="center" vertical="center" wrapText="1"/>
    </xf>
    <xf numFmtId="188" fontId="20" fillId="38" borderId="42" xfId="42" applyNumberFormat="1" applyFont="1" applyFill="1" applyBorder="1" applyAlignment="1">
      <alignment horizontal="center" vertical="center" wrapText="1"/>
    </xf>
    <xf numFmtId="188" fontId="20" fillId="38" borderId="41" xfId="42" applyNumberFormat="1" applyFont="1" applyFill="1" applyBorder="1" applyAlignment="1">
      <alignment horizontal="center" vertical="center" wrapText="1"/>
    </xf>
    <xf numFmtId="0" fontId="29" fillId="33" borderId="39" xfId="59" applyFont="1" applyFill="1" applyBorder="1" applyAlignment="1">
      <alignment horizontal="center" vertical="center" wrapText="1"/>
      <protection/>
    </xf>
    <xf numFmtId="0" fontId="29" fillId="33" borderId="42" xfId="59" applyFont="1" applyFill="1" applyBorder="1" applyAlignment="1">
      <alignment horizontal="center" vertical="center" wrapText="1"/>
      <protection/>
    </xf>
    <xf numFmtId="0" fontId="29" fillId="33" borderId="41" xfId="59" applyFont="1" applyFill="1" applyBorder="1" applyAlignment="1">
      <alignment horizontal="center" vertical="center" wrapText="1"/>
      <protection/>
    </xf>
    <xf numFmtId="0" fontId="29" fillId="0" borderId="38" xfId="0" applyFont="1" applyFill="1" applyBorder="1" applyAlignment="1" applyProtection="1">
      <alignment horizontal="center" vertical="center" wrapText="1"/>
      <protection/>
    </xf>
    <xf numFmtId="0" fontId="29" fillId="33" borderId="38" xfId="0" applyFont="1" applyFill="1" applyBorder="1" applyAlignment="1" applyProtection="1">
      <alignment horizontal="center" vertical="center" wrapText="1"/>
      <protection/>
    </xf>
    <xf numFmtId="187" fontId="29" fillId="0" borderId="39" xfId="0" applyNumberFormat="1" applyFont="1" applyFill="1" applyBorder="1" applyAlignment="1" applyProtection="1">
      <alignment horizontal="center" vertical="center" wrapText="1"/>
      <protection/>
    </xf>
    <xf numFmtId="187" fontId="29" fillId="0" borderId="42" xfId="0" applyNumberFormat="1" applyFont="1" applyFill="1" applyBorder="1" applyAlignment="1" applyProtection="1">
      <alignment horizontal="center" vertical="center" wrapText="1"/>
      <protection/>
    </xf>
    <xf numFmtId="187" fontId="29" fillId="0" borderId="41" xfId="0" applyNumberFormat="1" applyFont="1" applyFill="1" applyBorder="1" applyAlignment="1" applyProtection="1">
      <alignment horizontal="center" vertical="center" wrapText="1"/>
      <protection/>
    </xf>
    <xf numFmtId="4" fontId="29" fillId="38" borderId="38" xfId="59" applyNumberFormat="1" applyFont="1" applyFill="1" applyBorder="1" applyAlignment="1" applyProtection="1">
      <alignment horizontal="center" vertical="center"/>
      <protection locked="0"/>
    </xf>
    <xf numFmtId="4" fontId="20" fillId="38" borderId="38" xfId="42" applyNumberFormat="1" applyFont="1" applyFill="1" applyBorder="1" applyAlignment="1">
      <alignment horizontal="center" vertical="center" wrapText="1"/>
    </xf>
    <xf numFmtId="0" fontId="29" fillId="0" borderId="39" xfId="0" applyFont="1" applyFill="1" applyBorder="1" applyAlignment="1" applyProtection="1">
      <alignment horizontal="center" vertical="center" wrapText="1"/>
      <protection/>
    </xf>
    <xf numFmtId="0" fontId="29" fillId="0" borderId="42" xfId="0" applyFont="1" applyFill="1" applyBorder="1" applyAlignment="1" applyProtection="1">
      <alignment horizontal="center" vertical="center" wrapText="1"/>
      <protection/>
    </xf>
    <xf numFmtId="0" fontId="29" fillId="33" borderId="39" xfId="0" applyFont="1" applyFill="1" applyBorder="1" applyAlignment="1" applyProtection="1">
      <alignment horizontal="center" vertical="center" wrapText="1"/>
      <protection/>
    </xf>
    <xf numFmtId="0" fontId="29" fillId="33" borderId="41" xfId="0" applyFont="1" applyFill="1" applyBorder="1" applyAlignment="1" applyProtection="1">
      <alignment horizontal="center" vertical="center" wrapText="1"/>
      <protection/>
    </xf>
    <xf numFmtId="188" fontId="29" fillId="0" borderId="39" xfId="42" applyNumberFormat="1" applyFont="1" applyBorder="1" applyAlignment="1">
      <alignment horizontal="center" vertical="center" wrapText="1"/>
    </xf>
    <xf numFmtId="188" fontId="29" fillId="0" borderId="41" xfId="42" applyNumberFormat="1" applyFont="1" applyBorder="1" applyAlignment="1">
      <alignment horizontal="center" vertical="center" wrapText="1"/>
    </xf>
    <xf numFmtId="188" fontId="29" fillId="0" borderId="38" xfId="42" applyNumberFormat="1" applyFont="1" applyBorder="1" applyAlignment="1">
      <alignment horizontal="center" vertical="center" wrapText="1"/>
    </xf>
    <xf numFmtId="0" fontId="29" fillId="33" borderId="42" xfId="0" applyFont="1" applyFill="1" applyBorder="1" applyAlignment="1" applyProtection="1">
      <alignment horizontal="center" vertical="center" wrapText="1"/>
      <protection/>
    </xf>
    <xf numFmtId="187" fontId="29" fillId="0" borderId="38" xfId="0" applyNumberFormat="1" applyFont="1" applyFill="1" applyBorder="1" applyAlignment="1" applyProtection="1">
      <alignment horizontal="center" vertical="center" wrapText="1"/>
      <protection/>
    </xf>
    <xf numFmtId="188" fontId="29" fillId="33" borderId="38" xfId="59" applyNumberFormat="1" applyFont="1" applyFill="1" applyBorder="1" applyAlignment="1" applyProtection="1">
      <alignment horizontal="center" vertical="center"/>
      <protection locked="0"/>
    </xf>
    <xf numFmtId="0" fontId="29" fillId="33" borderId="39" xfId="0" applyFont="1" applyFill="1" applyBorder="1" applyAlignment="1">
      <alignment horizontal="center" vertical="center" wrapText="1"/>
    </xf>
    <xf numFmtId="0" fontId="29" fillId="33" borderId="42" xfId="0" applyFont="1" applyFill="1" applyBorder="1" applyAlignment="1">
      <alignment horizontal="center" vertical="center" wrapText="1"/>
    </xf>
    <xf numFmtId="0" fontId="29" fillId="33" borderId="41" xfId="0" applyFont="1" applyFill="1" applyBorder="1" applyAlignment="1">
      <alignment horizontal="center" vertical="center" wrapText="1"/>
    </xf>
    <xf numFmtId="188" fontId="29" fillId="38" borderId="39" xfId="59" applyNumberFormat="1" applyFont="1" applyFill="1" applyBorder="1" applyAlignment="1" applyProtection="1">
      <alignment horizontal="center" vertical="center"/>
      <protection locked="0"/>
    </xf>
    <xf numFmtId="188" fontId="29" fillId="38" borderId="42" xfId="59" applyNumberFormat="1" applyFont="1" applyFill="1" applyBorder="1" applyAlignment="1" applyProtection="1">
      <alignment horizontal="center" vertical="center"/>
      <protection locked="0"/>
    </xf>
    <xf numFmtId="188" fontId="29" fillId="38" borderId="41" xfId="59" applyNumberFormat="1" applyFont="1" applyFill="1" applyBorder="1" applyAlignment="1" applyProtection="1">
      <alignment horizontal="center" vertical="center"/>
      <protection locked="0"/>
    </xf>
    <xf numFmtId="0" fontId="4" fillId="12" borderId="58" xfId="0" applyFont="1" applyFill="1" applyBorder="1" applyAlignment="1" applyProtection="1">
      <alignment horizontal="center" vertical="center" wrapText="1"/>
      <protection/>
    </xf>
    <xf numFmtId="0" fontId="4" fillId="12" borderId="48" xfId="0" applyFont="1" applyFill="1" applyBorder="1" applyAlignment="1" applyProtection="1">
      <alignment horizontal="center" vertical="center" wrapText="1"/>
      <protection/>
    </xf>
    <xf numFmtId="0" fontId="4" fillId="12" borderId="59" xfId="0" applyFont="1" applyFill="1" applyBorder="1" applyAlignment="1" applyProtection="1">
      <alignment horizontal="center" vertical="center" wrapText="1"/>
      <protection/>
    </xf>
    <xf numFmtId="0" fontId="4" fillId="12" borderId="60" xfId="0" applyFont="1" applyFill="1" applyBorder="1" applyAlignment="1" applyProtection="1">
      <alignment horizontal="center" vertical="center" wrapText="1"/>
      <protection/>
    </xf>
    <xf numFmtId="0" fontId="29" fillId="0" borderId="39" xfId="0" applyNumberFormat="1" applyFont="1" applyBorder="1" applyAlignment="1">
      <alignment horizontal="center" vertical="center" wrapText="1"/>
    </xf>
    <xf numFmtId="0" fontId="29" fillId="0" borderId="41" xfId="0" applyNumberFormat="1" applyFont="1" applyBorder="1" applyAlignment="1">
      <alignment horizontal="center" vertical="center" wrapText="1"/>
    </xf>
    <xf numFmtId="188" fontId="29" fillId="38" borderId="39" xfId="59" applyNumberFormat="1" applyFont="1" applyFill="1" applyBorder="1" applyAlignment="1" applyProtection="1">
      <alignment horizontal="center" vertical="center"/>
      <protection locked="0"/>
    </xf>
    <xf numFmtId="188" fontId="29" fillId="38" borderId="41" xfId="59" applyNumberFormat="1" applyFont="1" applyFill="1" applyBorder="1" applyAlignment="1" applyProtection="1">
      <alignment horizontal="center" vertical="center"/>
      <protection locked="0"/>
    </xf>
    <xf numFmtId="0" fontId="20" fillId="38" borderId="39" xfId="0" applyFont="1" applyFill="1" applyBorder="1" applyAlignment="1">
      <alignment horizontal="center" vertical="center" wrapText="1"/>
    </xf>
    <xf numFmtId="0" fontId="20" fillId="38" borderId="41" xfId="0" applyFont="1" applyFill="1" applyBorder="1" applyAlignment="1">
      <alignment horizontal="center" vertical="center" wrapText="1"/>
    </xf>
    <xf numFmtId="0" fontId="20" fillId="38" borderId="42" xfId="0" applyFont="1" applyFill="1" applyBorder="1" applyAlignment="1">
      <alignment horizontal="center" vertical="center" wrapText="1"/>
    </xf>
    <xf numFmtId="0" fontId="4" fillId="12" borderId="57" xfId="0" applyFont="1" applyFill="1" applyBorder="1" applyAlignment="1" applyProtection="1">
      <alignment horizontal="center" vertical="center" wrapText="1"/>
      <protection/>
    </xf>
    <xf numFmtId="0" fontId="4" fillId="12" borderId="0" xfId="0" applyFont="1" applyFill="1" applyBorder="1" applyAlignment="1" applyProtection="1">
      <alignment horizontal="center" vertical="center" wrapText="1"/>
      <protection/>
    </xf>
    <xf numFmtId="0" fontId="4" fillId="12" borderId="61" xfId="0" applyFont="1" applyFill="1" applyBorder="1" applyAlignment="1" applyProtection="1">
      <alignment horizontal="center" vertical="center" wrapText="1"/>
      <protection/>
    </xf>
    <xf numFmtId="0" fontId="29" fillId="0" borderId="41" xfId="0" applyFont="1" applyFill="1" applyBorder="1" applyAlignment="1" applyProtection="1">
      <alignment horizontal="center" vertical="center" wrapText="1"/>
      <protection/>
    </xf>
    <xf numFmtId="187" fontId="29" fillId="33" borderId="39" xfId="0" applyNumberFormat="1" applyFont="1" applyFill="1" applyBorder="1" applyAlignment="1" applyProtection="1">
      <alignment horizontal="center" vertical="center" wrapText="1"/>
      <protection/>
    </xf>
    <xf numFmtId="187" fontId="29" fillId="33" borderId="41" xfId="0" applyNumberFormat="1" applyFont="1" applyFill="1" applyBorder="1" applyAlignment="1" applyProtection="1">
      <alignment horizontal="center" vertical="center" wrapText="1"/>
      <protection/>
    </xf>
    <xf numFmtId="187" fontId="29" fillId="33" borderId="42" xfId="0" applyNumberFormat="1" applyFont="1" applyFill="1" applyBorder="1" applyAlignment="1" applyProtection="1">
      <alignment horizontal="center" vertical="center" wrapText="1"/>
      <protection/>
    </xf>
    <xf numFmtId="0" fontId="82" fillId="0" borderId="39" xfId="0" applyFont="1" applyFill="1" applyBorder="1" applyAlignment="1">
      <alignment horizontal="center" vertical="center" wrapText="1"/>
    </xf>
    <xf numFmtId="0" fontId="82" fillId="0" borderId="42" xfId="0" applyFont="1" applyFill="1" applyBorder="1" applyAlignment="1">
      <alignment horizontal="center" vertical="center" wrapText="1"/>
    </xf>
    <xf numFmtId="0" fontId="82" fillId="0" borderId="41" xfId="0" applyFont="1" applyFill="1" applyBorder="1" applyAlignment="1">
      <alignment horizontal="center" vertical="center" wrapText="1"/>
    </xf>
    <xf numFmtId="0" fontId="82" fillId="0" borderId="38" xfId="0" applyFont="1" applyFill="1" applyBorder="1" applyAlignment="1">
      <alignment horizontal="center" vertical="center" wrapText="1"/>
    </xf>
    <xf numFmtId="0" fontId="29" fillId="33" borderId="39" xfId="0" applyNumberFormat="1" applyFont="1" applyFill="1" applyBorder="1" applyAlignment="1">
      <alignment horizontal="center" vertical="center" wrapText="1"/>
    </xf>
    <xf numFmtId="0" fontId="29" fillId="33" borderId="42" xfId="0" applyNumberFormat="1" applyFont="1" applyFill="1" applyBorder="1" applyAlignment="1">
      <alignment horizontal="center" vertical="center" wrapText="1"/>
    </xf>
    <xf numFmtId="0" fontId="29" fillId="33" borderId="41" xfId="0" applyNumberFormat="1" applyFont="1" applyFill="1" applyBorder="1" applyAlignment="1">
      <alignment horizontal="center" vertical="center" wrapText="1"/>
    </xf>
    <xf numFmtId="188" fontId="29" fillId="38" borderId="42" xfId="59" applyNumberFormat="1" applyFont="1" applyFill="1" applyBorder="1" applyAlignment="1" applyProtection="1">
      <alignment horizontal="center" vertical="center"/>
      <protection locked="0"/>
    </xf>
    <xf numFmtId="0" fontId="20" fillId="38" borderId="39" xfId="0" applyNumberFormat="1" applyFont="1" applyFill="1" applyBorder="1" applyAlignment="1">
      <alignment horizontal="center" vertical="center" wrapText="1"/>
    </xf>
    <xf numFmtId="0" fontId="20" fillId="38" borderId="42" xfId="0" applyNumberFormat="1" applyFont="1" applyFill="1" applyBorder="1" applyAlignment="1">
      <alignment horizontal="center" vertical="center" wrapText="1"/>
    </xf>
    <xf numFmtId="0" fontId="20" fillId="38" borderId="41" xfId="0" applyNumberFormat="1" applyFont="1" applyFill="1" applyBorder="1" applyAlignment="1">
      <alignment horizontal="center" vertical="center" wrapText="1"/>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15" fillId="33" borderId="62"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86" fillId="10" borderId="0" xfId="0" applyFont="1" applyFill="1" applyAlignment="1">
      <alignment horizontal="left" wrapText="1"/>
    </xf>
    <xf numFmtId="0" fontId="11" fillId="10" borderId="0" xfId="0" applyFont="1" applyFill="1" applyBorder="1" applyAlignment="1" applyProtection="1">
      <alignment horizontal="left" vertical="top" wrapText="1"/>
      <protection/>
    </xf>
    <xf numFmtId="0" fontId="96" fillId="10" borderId="0" xfId="0" applyFont="1" applyFill="1" applyAlignment="1">
      <alignment horizontal="left"/>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5" fillId="33" borderId="55" xfId="0" applyFont="1" applyFill="1" applyBorder="1" applyAlignment="1" applyProtection="1">
      <alignment horizontal="center" vertical="top" wrapText="1"/>
      <protection/>
    </xf>
    <xf numFmtId="0" fontId="15" fillId="33" borderId="63" xfId="0" applyFont="1" applyFill="1" applyBorder="1" applyAlignment="1" applyProtection="1">
      <alignment horizontal="center" vertical="top" wrapText="1"/>
      <protection/>
    </xf>
    <xf numFmtId="0" fontId="15" fillId="33" borderId="13" xfId="0" applyFont="1" applyFill="1" applyBorder="1" applyAlignment="1" applyProtection="1">
      <alignment horizontal="center" vertical="top" wrapText="1"/>
      <protection/>
    </xf>
    <xf numFmtId="0" fontId="15" fillId="33" borderId="51" xfId="0" applyFont="1" applyFill="1" applyBorder="1" applyAlignment="1" applyProtection="1">
      <alignment horizontal="center" vertical="top" wrapText="1"/>
      <protection/>
    </xf>
    <xf numFmtId="0" fontId="93" fillId="33" borderId="43" xfId="0" applyFont="1" applyFill="1" applyBorder="1" applyAlignment="1" applyProtection="1">
      <alignment horizontal="left" vertical="top" wrapText="1"/>
      <protection/>
    </xf>
    <xf numFmtId="0" fontId="97" fillId="33" borderId="19" xfId="0" applyFont="1" applyFill="1" applyBorder="1" applyAlignment="1" applyProtection="1">
      <alignment horizontal="left" vertical="top" wrapText="1"/>
      <protection/>
    </xf>
    <xf numFmtId="0" fontId="93" fillId="33" borderId="64" xfId="0" applyFont="1" applyFill="1" applyBorder="1" applyAlignment="1" applyProtection="1">
      <alignment horizontal="left" vertical="top" wrapText="1"/>
      <protection/>
    </xf>
    <xf numFmtId="0" fontId="93" fillId="33" borderId="65" xfId="0" applyFont="1" applyFill="1" applyBorder="1" applyAlignment="1" applyProtection="1">
      <alignment horizontal="left" vertical="top" wrapText="1"/>
      <protection/>
    </xf>
    <xf numFmtId="0" fontId="16" fillId="33" borderId="33"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86" fillId="10" borderId="0" xfId="0" applyFont="1" applyFill="1" applyAlignment="1">
      <alignment horizontal="left"/>
    </xf>
    <xf numFmtId="0" fontId="15" fillId="10" borderId="24"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93" fillId="33" borderId="21" xfId="0" applyFont="1" applyFill="1" applyBorder="1" applyAlignment="1" applyProtection="1">
      <alignment horizontal="left" vertical="top" wrapText="1"/>
      <protection/>
    </xf>
    <xf numFmtId="0" fontId="93" fillId="33" borderId="19" xfId="0" applyFont="1" applyFill="1" applyBorder="1" applyAlignment="1" applyProtection="1">
      <alignment horizontal="left" vertical="top" wrapText="1"/>
      <protection/>
    </xf>
    <xf numFmtId="0" fontId="15" fillId="33" borderId="31"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97" fillId="33" borderId="65" xfId="0" applyFont="1" applyFill="1" applyBorder="1" applyAlignment="1" applyProtection="1">
      <alignment horizontal="left" vertical="top" wrapText="1"/>
      <protection/>
    </xf>
    <xf numFmtId="0" fontId="15" fillId="33" borderId="30" xfId="0" applyFont="1" applyFill="1" applyBorder="1" applyAlignment="1" applyProtection="1">
      <alignment horizontal="left" vertical="top" wrapText="1"/>
      <protection/>
    </xf>
    <xf numFmtId="0" fontId="15" fillId="0" borderId="66" xfId="0" applyFont="1" applyFill="1" applyBorder="1" applyAlignment="1" applyProtection="1">
      <alignment horizontal="left" vertical="top" wrapText="1"/>
      <protection/>
    </xf>
    <xf numFmtId="0" fontId="15" fillId="0" borderId="67" xfId="0" applyFont="1" applyFill="1" applyBorder="1" applyAlignment="1" applyProtection="1">
      <alignment horizontal="left" vertical="top" wrapText="1"/>
      <protection/>
    </xf>
    <xf numFmtId="4" fontId="15" fillId="0" borderId="40" xfId="58" applyNumberFormat="1" applyFont="1" applyFill="1" applyBorder="1" applyAlignment="1">
      <alignment horizontal="left" vertical="top" wrapText="1"/>
      <protection/>
    </xf>
    <xf numFmtId="4" fontId="15" fillId="0" borderId="38" xfId="58" applyNumberFormat="1" applyFont="1" applyFill="1" applyBorder="1" applyAlignment="1">
      <alignment horizontal="left" vertical="top" wrapText="1"/>
      <protection/>
    </xf>
    <xf numFmtId="0" fontId="15" fillId="0" borderId="46" xfId="0" applyFont="1" applyFill="1" applyBorder="1" applyAlignment="1" applyProtection="1">
      <alignment horizontal="center" vertical="center" wrapText="1"/>
      <protection/>
    </xf>
    <xf numFmtId="0" fontId="15" fillId="0" borderId="47"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5" fillId="0" borderId="68" xfId="0" applyFont="1" applyFill="1" applyBorder="1" applyAlignment="1" applyProtection="1">
      <alignment horizontal="center" vertical="center" wrapText="1"/>
      <protection/>
    </xf>
    <xf numFmtId="0" fontId="15" fillId="0" borderId="66" xfId="0" applyFont="1" applyFill="1" applyBorder="1" applyAlignment="1" applyProtection="1">
      <alignment horizontal="center" vertical="center" wrapText="1"/>
      <protection/>
    </xf>
    <xf numFmtId="0" fontId="15" fillId="0" borderId="67" xfId="0" applyFont="1" applyFill="1" applyBorder="1" applyAlignment="1" applyProtection="1">
      <alignment horizontal="center" vertical="center" wrapText="1"/>
      <protection/>
    </xf>
    <xf numFmtId="0" fontId="15" fillId="0" borderId="69" xfId="0" applyFont="1" applyFill="1" applyBorder="1" applyAlignment="1" applyProtection="1">
      <alignment horizontal="center" vertical="top" wrapText="1"/>
      <protection/>
    </xf>
    <xf numFmtId="0" fontId="15" fillId="0" borderId="49" xfId="0" applyFont="1" applyFill="1" applyBorder="1" applyAlignment="1" applyProtection="1">
      <alignment horizontal="center" vertical="top" wrapText="1"/>
      <protection/>
    </xf>
    <xf numFmtId="0" fontId="15" fillId="0" borderId="65" xfId="0" applyFont="1" applyFill="1" applyBorder="1" applyAlignment="1" applyProtection="1">
      <alignment horizontal="center" vertical="top" wrapText="1"/>
      <protection/>
    </xf>
    <xf numFmtId="0" fontId="15" fillId="0" borderId="46" xfId="0" applyFont="1" applyFill="1" applyBorder="1" applyAlignment="1" applyProtection="1">
      <alignment horizontal="center" vertical="top" wrapText="1"/>
      <protection/>
    </xf>
    <xf numFmtId="0" fontId="15" fillId="0" borderId="47" xfId="0" applyFont="1" applyFill="1" applyBorder="1" applyAlignment="1" applyProtection="1">
      <alignment horizontal="center" vertical="top" wrapText="1"/>
      <protection/>
    </xf>
    <xf numFmtId="0" fontId="15" fillId="0" borderId="52" xfId="0" applyFont="1" applyFill="1" applyBorder="1" applyAlignment="1" applyProtection="1">
      <alignment horizontal="center" vertical="top" wrapText="1"/>
      <protection/>
    </xf>
    <xf numFmtId="0" fontId="15" fillId="0" borderId="56" xfId="0" applyFont="1" applyFill="1" applyBorder="1" applyAlignment="1" applyProtection="1">
      <alignment horizontal="center" vertical="center" wrapText="1"/>
      <protection/>
    </xf>
    <xf numFmtId="0" fontId="15" fillId="0" borderId="68" xfId="0" applyFont="1" applyFill="1" applyBorder="1" applyAlignment="1" applyProtection="1">
      <alignment horizontal="center" vertical="top" wrapText="1"/>
      <protection/>
    </xf>
    <xf numFmtId="0" fontId="15" fillId="0" borderId="66" xfId="0" applyFont="1" applyFill="1" applyBorder="1" applyAlignment="1" applyProtection="1">
      <alignment horizontal="center" vertical="top" wrapText="1"/>
      <protection/>
    </xf>
    <xf numFmtId="0" fontId="15" fillId="0" borderId="67" xfId="0" applyFont="1" applyFill="1" applyBorder="1" applyAlignment="1" applyProtection="1">
      <alignment horizontal="center" vertical="top" wrapText="1"/>
      <protection/>
    </xf>
    <xf numFmtId="0" fontId="15" fillId="0" borderId="45" xfId="0" applyFont="1" applyFill="1" applyBorder="1" applyAlignment="1" applyProtection="1">
      <alignment horizontal="left" vertical="center" wrapText="1"/>
      <protection/>
    </xf>
    <xf numFmtId="0" fontId="15" fillId="0" borderId="60" xfId="0" applyFont="1" applyFill="1" applyBorder="1" applyAlignment="1" applyProtection="1">
      <alignment horizontal="left" vertical="center" wrapText="1"/>
      <protection/>
    </xf>
    <xf numFmtId="0" fontId="16" fillId="0" borderId="47" xfId="0" applyFont="1" applyFill="1" applyBorder="1" applyAlignment="1" applyProtection="1">
      <alignment horizontal="left" vertical="center" wrapText="1"/>
      <protection/>
    </xf>
    <xf numFmtId="0" fontId="16" fillId="0" borderId="40" xfId="0" applyFont="1" applyFill="1" applyBorder="1" applyAlignment="1" applyProtection="1">
      <alignment horizontal="left" vertical="center" wrapText="1"/>
      <protection/>
    </xf>
    <xf numFmtId="0" fontId="16" fillId="0" borderId="18" xfId="0" applyFont="1" applyFill="1" applyBorder="1" applyAlignment="1" applyProtection="1">
      <alignment horizontal="center" vertical="center" wrapText="1"/>
      <protection/>
    </xf>
    <xf numFmtId="0" fontId="16" fillId="0" borderId="30" xfId="0" applyFont="1" applyFill="1" applyBorder="1" applyAlignment="1" applyProtection="1">
      <alignment horizontal="center" vertical="center" wrapText="1"/>
      <protection/>
    </xf>
    <xf numFmtId="0" fontId="16" fillId="0" borderId="29" xfId="0" applyFont="1" applyFill="1" applyBorder="1" applyAlignment="1" applyProtection="1">
      <alignment horizontal="center" vertical="center" wrapText="1"/>
      <protection/>
    </xf>
    <xf numFmtId="0" fontId="15" fillId="33" borderId="56"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15" fillId="33" borderId="68" xfId="0" applyFont="1" applyFill="1" applyBorder="1" applyAlignment="1" applyProtection="1">
      <alignment horizontal="left" vertical="center" wrapText="1"/>
      <protection/>
    </xf>
    <xf numFmtId="0" fontId="15" fillId="33" borderId="67" xfId="0" applyFont="1" applyFill="1" applyBorder="1" applyAlignment="1" applyProtection="1">
      <alignment horizontal="left" vertical="center" wrapText="1"/>
      <protection/>
    </xf>
    <xf numFmtId="0" fontId="15" fillId="33" borderId="43" xfId="0" applyFont="1" applyFill="1" applyBorder="1" applyAlignment="1" applyProtection="1">
      <alignment horizontal="center"/>
      <protection locked="0"/>
    </xf>
    <xf numFmtId="0" fontId="15" fillId="33" borderId="21" xfId="0" applyFont="1" applyFill="1" applyBorder="1" applyAlignment="1" applyProtection="1">
      <alignment horizontal="center"/>
      <protection locked="0"/>
    </xf>
    <xf numFmtId="0" fontId="15" fillId="33" borderId="19" xfId="0" applyFont="1" applyFill="1" applyBorder="1" applyAlignment="1" applyProtection="1">
      <alignment horizontal="center"/>
      <protection locked="0"/>
    </xf>
    <xf numFmtId="0" fontId="23" fillId="10" borderId="0" xfId="0" applyFont="1" applyFill="1" applyBorder="1" applyAlignment="1" applyProtection="1">
      <alignment horizontal="left" vertical="center" wrapText="1"/>
      <protection/>
    </xf>
    <xf numFmtId="0" fontId="34" fillId="0" borderId="43" xfId="0" applyFont="1" applyFill="1" applyBorder="1" applyAlignment="1" applyProtection="1">
      <alignment horizontal="left" vertical="top" wrapText="1"/>
      <protection/>
    </xf>
    <xf numFmtId="0" fontId="35" fillId="0" borderId="21" xfId="0" applyFont="1" applyFill="1" applyBorder="1" applyAlignment="1" applyProtection="1">
      <alignment horizontal="left" vertical="top" wrapText="1"/>
      <protection/>
    </xf>
    <xf numFmtId="0" fontId="35" fillId="0" borderId="19" xfId="0" applyFont="1" applyFill="1" applyBorder="1" applyAlignment="1" applyProtection="1">
      <alignment horizontal="left" vertical="top" wrapText="1"/>
      <protection/>
    </xf>
    <xf numFmtId="0" fontId="15" fillId="33" borderId="64" xfId="0" applyFont="1" applyFill="1" applyBorder="1" applyAlignment="1" applyProtection="1">
      <alignment horizontal="left" vertical="center" wrapText="1"/>
      <protection/>
    </xf>
    <xf numFmtId="0" fontId="15" fillId="33" borderId="65" xfId="0" applyFont="1" applyFill="1" applyBorder="1" applyAlignment="1" applyProtection="1">
      <alignment horizontal="left" vertical="center" wrapText="1"/>
      <protection/>
    </xf>
    <xf numFmtId="0" fontId="15" fillId="33" borderId="43"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xf>
    <xf numFmtId="0" fontId="15" fillId="33" borderId="43" xfId="0" applyFont="1" applyFill="1" applyBorder="1" applyAlignment="1" applyProtection="1">
      <alignment horizontal="left" vertical="top" wrapText="1"/>
      <protection/>
    </xf>
    <xf numFmtId="0" fontId="15" fillId="33" borderId="19" xfId="0" applyFont="1" applyFill="1" applyBorder="1" applyAlignment="1" applyProtection="1">
      <alignment horizontal="left" vertical="top" wrapText="1"/>
      <protection/>
    </xf>
    <xf numFmtId="0" fontId="15" fillId="33" borderId="43" xfId="0" applyFont="1" applyFill="1" applyBorder="1" applyAlignment="1" applyProtection="1">
      <alignment horizontal="center" wrapText="1"/>
      <protection locked="0"/>
    </xf>
    <xf numFmtId="0" fontId="15" fillId="33" borderId="21" xfId="0" applyFont="1" applyFill="1" applyBorder="1" applyAlignment="1" applyProtection="1">
      <alignment horizontal="center" wrapText="1"/>
      <protection locked="0"/>
    </xf>
    <xf numFmtId="0" fontId="16" fillId="10" borderId="27" xfId="0" applyFont="1" applyFill="1" applyBorder="1" applyAlignment="1" applyProtection="1">
      <alignment horizontal="center" vertical="center" wrapText="1"/>
      <protection/>
    </xf>
    <xf numFmtId="0" fontId="15" fillId="33" borderId="43" xfId="0" applyFont="1" applyFill="1" applyBorder="1" applyAlignment="1" applyProtection="1">
      <alignment horizontal="left" vertical="center" wrapText="1"/>
      <protection/>
    </xf>
    <xf numFmtId="0" fontId="15" fillId="33" borderId="19" xfId="0" applyFont="1" applyFill="1" applyBorder="1" applyAlignment="1" applyProtection="1">
      <alignment horizontal="left" vertical="center" wrapText="1"/>
      <protection/>
    </xf>
    <xf numFmtId="0" fontId="15" fillId="33" borderId="22" xfId="0" applyFont="1" applyFill="1" applyBorder="1" applyAlignment="1" applyProtection="1">
      <alignment horizontal="center" vertical="top" wrapText="1"/>
      <protection/>
    </xf>
    <xf numFmtId="0" fontId="15" fillId="33" borderId="20" xfId="0" applyFont="1" applyFill="1" applyBorder="1" applyAlignment="1" applyProtection="1">
      <alignment horizontal="center" vertical="top" wrapText="1"/>
      <protection/>
    </xf>
    <xf numFmtId="0" fontId="15" fillId="33" borderId="26" xfId="0" applyFont="1" applyFill="1" applyBorder="1" applyAlignment="1" applyProtection="1">
      <alignment horizontal="center" vertical="top" wrapText="1"/>
      <protection/>
    </xf>
    <xf numFmtId="0" fontId="15" fillId="33" borderId="28" xfId="0" applyFont="1" applyFill="1" applyBorder="1" applyAlignment="1" applyProtection="1">
      <alignment horizontal="center" vertical="top" wrapText="1"/>
      <protection/>
    </xf>
    <xf numFmtId="0" fontId="15" fillId="0" borderId="46" xfId="0" applyFont="1" applyFill="1" applyBorder="1" applyAlignment="1" applyProtection="1">
      <alignment horizontal="left" vertical="top" wrapText="1"/>
      <protection/>
    </xf>
    <xf numFmtId="0" fontId="15" fillId="0" borderId="52" xfId="0" applyFont="1" applyFill="1" applyBorder="1" applyAlignment="1" applyProtection="1">
      <alignment horizontal="left" vertical="top" wrapText="1"/>
      <protection/>
    </xf>
    <xf numFmtId="0" fontId="16" fillId="10" borderId="0" xfId="0" applyFont="1" applyFill="1" applyBorder="1" applyAlignment="1" applyProtection="1">
      <alignment horizontal="center" vertical="center" wrapText="1"/>
      <protection/>
    </xf>
    <xf numFmtId="0" fontId="15" fillId="33" borderId="22" xfId="0" applyFont="1" applyFill="1" applyBorder="1" applyAlignment="1" applyProtection="1">
      <alignment horizontal="left" vertical="top" wrapText="1"/>
      <protection/>
    </xf>
    <xf numFmtId="0" fontId="15" fillId="33" borderId="20" xfId="0" applyFont="1" applyFill="1" applyBorder="1" applyAlignment="1" applyProtection="1">
      <alignment horizontal="left" vertical="top" wrapText="1"/>
      <protection/>
    </xf>
    <xf numFmtId="0" fontId="15" fillId="33" borderId="26" xfId="0" applyFont="1" applyFill="1" applyBorder="1" applyAlignment="1" applyProtection="1">
      <alignment horizontal="left" vertical="top" wrapText="1"/>
      <protection/>
    </xf>
    <xf numFmtId="0" fontId="15" fillId="33" borderId="28" xfId="0" applyFont="1" applyFill="1" applyBorder="1" applyAlignment="1" applyProtection="1">
      <alignment horizontal="left" vertical="top" wrapText="1"/>
      <protection/>
    </xf>
    <xf numFmtId="0" fontId="11" fillId="10" borderId="23" xfId="0" applyFont="1" applyFill="1" applyBorder="1" applyAlignment="1" applyProtection="1">
      <alignment horizontal="center" wrapText="1"/>
      <protection/>
    </xf>
    <xf numFmtId="0" fontId="15" fillId="0" borderId="27" xfId="0" applyFont="1" applyFill="1" applyBorder="1" applyAlignment="1" applyProtection="1">
      <alignment horizontal="left" vertical="center" wrapText="1"/>
      <protection/>
    </xf>
    <xf numFmtId="0" fontId="15" fillId="0" borderId="28" xfId="0" applyFont="1" applyFill="1" applyBorder="1" applyAlignment="1" applyProtection="1">
      <alignment horizontal="left" vertical="center" wrapText="1"/>
      <protection/>
    </xf>
    <xf numFmtId="0" fontId="15" fillId="0" borderId="21" xfId="0" applyFont="1" applyFill="1" applyBorder="1" applyAlignment="1" applyProtection="1">
      <alignment horizontal="left" vertical="top" wrapText="1"/>
      <protection/>
    </xf>
    <xf numFmtId="0" fontId="15" fillId="0" borderId="19" xfId="0" applyFont="1" applyFill="1" applyBorder="1" applyAlignment="1" applyProtection="1">
      <alignment horizontal="left" vertical="top" wrapText="1"/>
      <protection/>
    </xf>
    <xf numFmtId="0" fontId="16" fillId="0" borderId="30" xfId="0" applyFont="1" applyFill="1" applyBorder="1" applyAlignment="1" applyProtection="1">
      <alignment horizontal="center" vertical="center"/>
      <protection/>
    </xf>
    <xf numFmtId="0" fontId="16" fillId="0" borderId="29" xfId="0" applyFont="1" applyFill="1" applyBorder="1" applyAlignment="1" applyProtection="1">
      <alignment horizontal="center" vertical="center"/>
      <protection/>
    </xf>
    <xf numFmtId="0" fontId="16" fillId="0" borderId="56" xfId="0" applyFont="1" applyFill="1" applyBorder="1" applyAlignment="1" applyProtection="1">
      <alignment horizontal="left" vertical="center" wrapText="1"/>
      <protection/>
    </xf>
    <xf numFmtId="0" fontId="57" fillId="0" borderId="47" xfId="0" applyFont="1" applyBorder="1" applyAlignment="1">
      <alignment/>
    </xf>
    <xf numFmtId="0" fontId="57" fillId="0" borderId="40" xfId="0" applyFont="1" applyBorder="1" applyAlignment="1">
      <alignment/>
    </xf>
    <xf numFmtId="0" fontId="15" fillId="0" borderId="40" xfId="0" applyFont="1" applyFill="1" applyBorder="1" applyAlignment="1" applyProtection="1">
      <alignment horizontal="left" vertical="center" wrapText="1"/>
      <protection/>
    </xf>
    <xf numFmtId="0" fontId="15" fillId="0" borderId="38" xfId="0" applyFont="1" applyFill="1" applyBorder="1" applyAlignment="1" applyProtection="1">
      <alignment horizontal="left" vertical="center" wrapText="1"/>
      <protection/>
    </xf>
    <xf numFmtId="0" fontId="15" fillId="0" borderId="40" xfId="58" applyFont="1" applyFill="1" applyBorder="1" applyAlignment="1">
      <alignment horizontal="left" vertical="top" wrapText="1"/>
      <protection/>
    </xf>
    <xf numFmtId="0" fontId="15" fillId="0" borderId="38" xfId="58" applyFont="1" applyFill="1" applyBorder="1" applyAlignment="1">
      <alignment horizontal="left" vertical="top" wrapText="1"/>
      <protection/>
    </xf>
    <xf numFmtId="0" fontId="15" fillId="0" borderId="47" xfId="58" applyNumberFormat="1" applyFont="1" applyFill="1" applyBorder="1" applyAlignment="1">
      <alignment horizontal="left" vertical="top" wrapText="1"/>
      <protection/>
    </xf>
    <xf numFmtId="0" fontId="15" fillId="0" borderId="40" xfId="58" applyNumberFormat="1" applyFont="1" applyFill="1" applyBorder="1" applyAlignment="1">
      <alignment horizontal="left" vertical="top" wrapText="1"/>
      <protection/>
    </xf>
    <xf numFmtId="0" fontId="15" fillId="33" borderId="22" xfId="0" applyFont="1" applyFill="1" applyBorder="1" applyAlignment="1" applyProtection="1">
      <alignment horizontal="center"/>
      <protection locked="0"/>
    </xf>
    <xf numFmtId="0" fontId="15" fillId="33" borderId="23" xfId="0" applyFont="1" applyFill="1" applyBorder="1" applyAlignment="1" applyProtection="1">
      <alignment horizontal="center"/>
      <protection locked="0"/>
    </xf>
    <xf numFmtId="0" fontId="15" fillId="33" borderId="20" xfId="0" applyFont="1" applyFill="1" applyBorder="1" applyAlignment="1" applyProtection="1">
      <alignment horizontal="center"/>
      <protection locked="0"/>
    </xf>
    <xf numFmtId="0" fontId="33" fillId="33" borderId="43" xfId="53" applyFont="1" applyFill="1" applyBorder="1" applyAlignment="1" applyProtection="1">
      <alignment horizontal="center"/>
      <protection locked="0"/>
    </xf>
    <xf numFmtId="0" fontId="33" fillId="33" borderId="21" xfId="53" applyFont="1" applyFill="1" applyBorder="1" applyAlignment="1" applyProtection="1">
      <alignment horizontal="center"/>
      <protection locked="0"/>
    </xf>
    <xf numFmtId="0" fontId="11" fillId="10" borderId="0" xfId="0" applyFont="1" applyFill="1" applyBorder="1" applyAlignment="1" applyProtection="1">
      <alignment horizontal="left" vertical="center" wrapText="1"/>
      <protection/>
    </xf>
    <xf numFmtId="0" fontId="23" fillId="0" borderId="22"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20"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3" fillId="0" borderId="25"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23" fillId="0" borderId="27" xfId="0" applyFont="1" applyFill="1" applyBorder="1" applyAlignment="1" applyProtection="1">
      <alignment horizontal="left" vertical="center" wrapText="1"/>
      <protection/>
    </xf>
    <xf numFmtId="0" fontId="23" fillId="0" borderId="28" xfId="0" applyFont="1" applyFill="1" applyBorder="1" applyAlignment="1" applyProtection="1">
      <alignment horizontal="left" vertical="center" wrapText="1"/>
      <protection/>
    </xf>
    <xf numFmtId="0" fontId="15" fillId="33" borderId="64" xfId="0" applyFont="1" applyFill="1" applyBorder="1" applyAlignment="1" applyProtection="1">
      <alignment horizontal="left" vertical="top" wrapText="1"/>
      <protection/>
    </xf>
    <xf numFmtId="0" fontId="15" fillId="33" borderId="65" xfId="0" applyFont="1" applyFill="1" applyBorder="1" applyAlignment="1" applyProtection="1">
      <alignment horizontal="left" vertical="top" wrapText="1"/>
      <protection/>
    </xf>
    <xf numFmtId="0" fontId="0" fillId="0" borderId="24" xfId="0" applyBorder="1" applyAlignment="1">
      <alignment horizontal="left" wrapText="1"/>
    </xf>
    <xf numFmtId="0" fontId="0" fillId="0" borderId="0" xfId="0" applyAlignment="1">
      <alignment horizontal="left"/>
    </xf>
    <xf numFmtId="0" fontId="15" fillId="33" borderId="70" xfId="0" applyFont="1" applyFill="1" applyBorder="1" applyAlignment="1" applyProtection="1">
      <alignment horizontal="left" vertical="center" wrapText="1"/>
      <protection/>
    </xf>
    <xf numFmtId="0" fontId="15" fillId="33" borderId="53" xfId="0" applyFont="1" applyFill="1" applyBorder="1" applyAlignment="1" applyProtection="1">
      <alignment horizontal="left" vertical="center" wrapText="1"/>
      <protection/>
    </xf>
    <xf numFmtId="0" fontId="15" fillId="33" borderId="22" xfId="0" applyFont="1" applyFill="1" applyBorder="1" applyAlignment="1" applyProtection="1">
      <alignment horizontal="left" vertical="center" wrapText="1"/>
      <protection/>
    </xf>
    <xf numFmtId="0" fontId="15" fillId="33" borderId="20" xfId="0" applyFont="1" applyFill="1" applyBorder="1" applyAlignment="1" applyProtection="1">
      <alignment horizontal="left" vertical="center" wrapText="1"/>
      <protection/>
    </xf>
    <xf numFmtId="0" fontId="16" fillId="33" borderId="22" xfId="0" applyFont="1" applyFill="1" applyBorder="1" applyAlignment="1" applyProtection="1">
      <alignment horizontal="left" vertical="center" wrapText="1"/>
      <protection/>
    </xf>
    <xf numFmtId="0" fontId="16" fillId="33" borderId="20" xfId="0" applyFont="1" applyFill="1" applyBorder="1" applyAlignment="1" applyProtection="1">
      <alignment horizontal="left" vertical="center" wrapText="1"/>
      <protection/>
    </xf>
    <xf numFmtId="0" fontId="15" fillId="33" borderId="68" xfId="0" applyFont="1" applyFill="1" applyBorder="1" applyAlignment="1" applyProtection="1">
      <alignment horizontal="left" vertical="top" wrapText="1"/>
      <protection/>
    </xf>
    <xf numFmtId="0" fontId="15" fillId="33" borderId="67" xfId="0" applyFont="1" applyFill="1" applyBorder="1" applyAlignment="1" applyProtection="1">
      <alignment horizontal="left" vertical="top" wrapText="1"/>
      <protection/>
    </xf>
    <xf numFmtId="0" fontId="0" fillId="0" borderId="24"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xf>
    <xf numFmtId="0" fontId="0" fillId="0" borderId="19" xfId="0" applyBorder="1" applyAlignment="1">
      <alignment/>
    </xf>
    <xf numFmtId="0" fontId="96" fillId="10" borderId="23" xfId="0" applyFont="1" applyFill="1" applyBorder="1" applyAlignment="1">
      <alignment horizontal="center"/>
    </xf>
    <xf numFmtId="0" fontId="11" fillId="10" borderId="0" xfId="0" applyFont="1" applyFill="1" applyBorder="1" applyAlignment="1" applyProtection="1">
      <alignment horizontal="center" wrapText="1"/>
      <protection/>
    </xf>
    <xf numFmtId="0" fontId="16" fillId="33" borderId="33" xfId="0" applyFont="1" applyFill="1" applyBorder="1" applyAlignment="1" applyProtection="1">
      <alignment horizontal="center" vertical="center" wrapText="1"/>
      <protection/>
    </xf>
    <xf numFmtId="0" fontId="16" fillId="33" borderId="71"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3" fillId="10" borderId="18" xfId="0" applyFont="1" applyFill="1" applyBorder="1" applyAlignment="1" applyProtection="1">
      <alignment horizontal="left" vertical="center" wrapText="1"/>
      <protection/>
    </xf>
    <xf numFmtId="0" fontId="3" fillId="10" borderId="30" xfId="0" applyFont="1" applyFill="1" applyBorder="1" applyAlignment="1" applyProtection="1">
      <alignment horizontal="left" vertical="center" wrapText="1"/>
      <protection/>
    </xf>
    <xf numFmtId="0" fontId="16" fillId="34" borderId="14" xfId="0" applyFont="1" applyFill="1" applyBorder="1" applyAlignment="1">
      <alignment horizontal="center"/>
    </xf>
    <xf numFmtId="0" fontId="84" fillId="0" borderId="43" xfId="0" applyFont="1" applyFill="1" applyBorder="1" applyAlignment="1">
      <alignment horizontal="center"/>
    </xf>
    <xf numFmtId="0" fontId="84" fillId="0" borderId="72" xfId="0" applyFont="1" applyFill="1" applyBorder="1" applyAlignment="1">
      <alignment horizontal="center"/>
    </xf>
    <xf numFmtId="0" fontId="88" fillId="10" borderId="27" xfId="0" applyFont="1" applyFill="1" applyBorder="1" applyAlignment="1">
      <alignment/>
    </xf>
    <xf numFmtId="0" fontId="98" fillId="34" borderId="14" xfId="0" applyFont="1" applyFill="1" applyBorder="1" applyAlignment="1">
      <alignment horizontal="center"/>
    </xf>
    <xf numFmtId="0" fontId="83" fillId="34" borderId="43" xfId="0" applyFont="1" applyFill="1" applyBorder="1" applyAlignment="1">
      <alignment horizontal="center" vertical="center" wrapText="1"/>
    </xf>
    <xf numFmtId="0" fontId="83" fillId="34" borderId="19" xfId="0" applyFont="1" applyFill="1" applyBorder="1" applyAlignment="1">
      <alignment horizontal="center" vertical="center" wrapText="1"/>
    </xf>
    <xf numFmtId="0" fontId="82" fillId="33" borderId="22" xfId="0" applyFont="1" applyFill="1" applyBorder="1" applyAlignment="1">
      <alignment horizontal="center" vertical="top" wrapText="1"/>
    </xf>
    <xf numFmtId="0" fontId="82" fillId="33" borderId="23" xfId="0" applyFont="1" applyFill="1" applyBorder="1" applyAlignment="1">
      <alignment horizontal="center" vertical="top" wrapText="1"/>
    </xf>
    <xf numFmtId="0" fontId="82" fillId="33" borderId="20" xfId="0" applyFont="1" applyFill="1" applyBorder="1" applyAlignment="1">
      <alignment horizontal="center" vertical="top" wrapText="1"/>
    </xf>
    <xf numFmtId="0" fontId="99" fillId="10" borderId="43" xfId="0" applyFont="1" applyFill="1" applyBorder="1" applyAlignment="1">
      <alignment horizontal="center" vertical="center" wrapText="1"/>
    </xf>
    <xf numFmtId="0" fontId="99" fillId="10" borderId="19" xfId="0" applyFont="1" applyFill="1" applyBorder="1" applyAlignment="1">
      <alignment horizontal="center" vertical="center" wrapText="1"/>
    </xf>
    <xf numFmtId="0" fontId="82" fillId="10" borderId="43" xfId="0" applyFont="1" applyFill="1" applyBorder="1" applyAlignment="1">
      <alignment horizontal="center" vertical="top" wrapText="1"/>
    </xf>
    <xf numFmtId="0" fontId="82" fillId="10" borderId="19" xfId="0" applyFont="1" applyFill="1" applyBorder="1" applyAlignment="1">
      <alignment horizontal="center" vertical="top" wrapText="1"/>
    </xf>
    <xf numFmtId="0" fontId="100" fillId="34" borderId="43" xfId="0" applyFont="1" applyFill="1" applyBorder="1" applyAlignment="1">
      <alignment horizontal="center"/>
    </xf>
    <xf numFmtId="0" fontId="100" fillId="34" borderId="21" xfId="0" applyFont="1" applyFill="1" applyBorder="1" applyAlignment="1">
      <alignment horizontal="center"/>
    </xf>
    <xf numFmtId="0" fontId="100" fillId="34" borderId="19" xfId="0" applyFont="1" applyFill="1" applyBorder="1" applyAlignment="1">
      <alignment horizontal="center"/>
    </xf>
    <xf numFmtId="0" fontId="83" fillId="34" borderId="21" xfId="0" applyFont="1" applyFill="1" applyBorder="1" applyAlignment="1">
      <alignment horizontal="center" vertical="center" wrapText="1"/>
    </xf>
    <xf numFmtId="9" fontId="99" fillId="10" borderId="43" xfId="0" applyNumberFormat="1" applyFont="1" applyFill="1" applyBorder="1" applyAlignment="1">
      <alignment horizontal="center" vertical="center" wrapText="1"/>
    </xf>
    <xf numFmtId="0" fontId="85" fillId="10" borderId="23" xfId="0" applyFont="1" applyFill="1" applyBorder="1" applyAlignment="1">
      <alignment horizontal="center" vertical="center"/>
    </xf>
    <xf numFmtId="0" fontId="82" fillId="10" borderId="22" xfId="0" applyFont="1" applyFill="1" applyBorder="1" applyAlignment="1">
      <alignment horizontal="center" vertical="top" wrapText="1"/>
    </xf>
    <xf numFmtId="0" fontId="82" fillId="10" borderId="23" xfId="0" applyFont="1" applyFill="1" applyBorder="1" applyAlignment="1">
      <alignment horizontal="center" vertical="top" wrapText="1"/>
    </xf>
    <xf numFmtId="0" fontId="82" fillId="10" borderId="20" xfId="0" applyFont="1" applyFill="1" applyBorder="1" applyAlignment="1">
      <alignment horizontal="center" vertical="top" wrapText="1"/>
    </xf>
    <xf numFmtId="0" fontId="82" fillId="10" borderId="26" xfId="0" applyFont="1" applyFill="1" applyBorder="1" applyAlignment="1">
      <alignment horizontal="center" vertical="top" wrapText="1"/>
    </xf>
    <xf numFmtId="0" fontId="82" fillId="10" borderId="27" xfId="0" applyFont="1" applyFill="1" applyBorder="1" applyAlignment="1">
      <alignment horizontal="center" vertical="top" wrapText="1"/>
    </xf>
    <xf numFmtId="0" fontId="82" fillId="10" borderId="28" xfId="0" applyFont="1" applyFill="1" applyBorder="1" applyAlignment="1">
      <alignment horizontal="center" vertical="top" wrapText="1"/>
    </xf>
    <xf numFmtId="0" fontId="72" fillId="10" borderId="26" xfId="53" applyFill="1" applyBorder="1" applyAlignment="1" applyProtection="1">
      <alignment horizontal="center" vertical="top" wrapText="1"/>
      <protection/>
    </xf>
    <xf numFmtId="0" fontId="72" fillId="10" borderId="27" xfId="53" applyFill="1" applyBorder="1" applyAlignment="1" applyProtection="1">
      <alignment horizontal="center" vertical="top" wrapText="1"/>
      <protection/>
    </xf>
    <xf numFmtId="0" fontId="72" fillId="10" borderId="28" xfId="53" applyFill="1" applyBorder="1" applyAlignment="1" applyProtection="1">
      <alignment horizontal="center" vertical="top" wrapText="1"/>
      <protection/>
    </xf>
    <xf numFmtId="0" fontId="85" fillId="33" borderId="43" xfId="0" applyFont="1" applyFill="1" applyBorder="1" applyAlignment="1">
      <alignment horizontal="center" vertical="center"/>
    </xf>
    <xf numFmtId="0" fontId="85" fillId="33" borderId="21" xfId="0" applyFont="1" applyFill="1" applyBorder="1" applyAlignment="1">
      <alignment horizontal="center" vertical="center"/>
    </xf>
    <xf numFmtId="0" fontId="85" fillId="33" borderId="19" xfId="0" applyFont="1" applyFill="1" applyBorder="1" applyAlignment="1">
      <alignment horizontal="center" vertical="center"/>
    </xf>
    <xf numFmtId="0" fontId="86" fillId="0" borderId="43" xfId="0" applyFont="1" applyBorder="1" applyAlignment="1">
      <alignment horizontal="left" vertical="center"/>
    </xf>
    <xf numFmtId="0" fontId="86" fillId="0" borderId="21" xfId="0" applyFont="1" applyBorder="1" applyAlignment="1">
      <alignment horizontal="left" vertical="center"/>
    </xf>
    <xf numFmtId="0" fontId="86" fillId="0" borderId="19" xfId="0" applyFont="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ares 2"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525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80975" y="209550"/>
          <a:ext cx="7905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28600"/>
          <a:ext cx="695325" cy="762000"/>
        </a:xfrm>
        <a:prstGeom prst="rect">
          <a:avLst/>
        </a:prstGeom>
        <a:noFill/>
        <a:ln w="9525" cmpd="sng">
          <a:noFill/>
        </a:ln>
      </xdr:spPr>
    </xdr:pic>
    <xdr:clientData/>
  </xdr:twoCellAnchor>
  <xdr:twoCellAnchor editAs="oneCell">
    <xdr:from>
      <xdr:col>10</xdr:col>
      <xdr:colOff>276225</xdr:colOff>
      <xdr:row>1</xdr:row>
      <xdr:rowOff>28575</xdr:rowOff>
    </xdr:from>
    <xdr:to>
      <xdr:col>12</xdr:col>
      <xdr:colOff>723900</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4249400" y="228600"/>
          <a:ext cx="197167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Archivo%202013\2.%20Modificaci&#242;n%20PAC%202013\2.%20PAC%20MARENA%20%202013%20Modificaci&#242;n%201403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RAS"/>
      <sheetName val="Tablas (No Tocar)"/>
      <sheetName val="ClasificadorNU (No Tocar)"/>
      <sheetName val="BIENES"/>
      <sheetName val="CONSULTORIAS"/>
      <sheetName val="SERVICIOS GENERALES"/>
      <sheetName val="CONSOLIDADO"/>
    </sheetNames>
    <sheetDataSet>
      <sheetData sheetId="2">
        <row r="2">
          <cell r="B2" t="str">
            <v>1010 - Animales vivos</v>
          </cell>
        </row>
        <row r="3">
          <cell r="B3" t="str">
            <v>1011 - Productos de casa para animales domésticos</v>
          </cell>
        </row>
        <row r="4">
          <cell r="B4" t="str">
            <v>1012 - Alimento para animales</v>
          </cell>
        </row>
        <row r="5">
          <cell r="B5" t="str">
            <v>1013 - Contención y hábitat para animales</v>
          </cell>
        </row>
        <row r="6">
          <cell r="B6" t="str">
            <v>1014 - Artículos de talabartería y arreos</v>
          </cell>
        </row>
        <row r="7">
          <cell r="B7" t="str">
            <v>1015 - Semillas, bulbos, plantas de semillero y tallos</v>
          </cell>
        </row>
        <row r="8">
          <cell r="B8" t="str">
            <v>1016 - Productos de floricultura y silvicultura</v>
          </cell>
        </row>
        <row r="9">
          <cell r="B9" t="str">
            <v>1017 - Fertilizantes y nutrientes para plantas y herbicidas</v>
          </cell>
        </row>
        <row r="10">
          <cell r="B10" t="str">
            <v>1019 - Productos para el control de plagas</v>
          </cell>
        </row>
        <row r="11">
          <cell r="B11" t="str">
            <v>1110 - Minerales, minerales metálicos y metales</v>
          </cell>
        </row>
        <row r="12">
          <cell r="B12" t="str">
            <v>1111 - Tierra y piedra</v>
          </cell>
        </row>
        <row r="13">
          <cell r="B13" t="str">
            <v>1112 - Productos de Silvicultura y Forestales</v>
          </cell>
        </row>
        <row r="14">
          <cell r="B14" t="str">
            <v>1113 - Productos animales no comestibles</v>
          </cell>
        </row>
        <row r="15">
          <cell r="B15" t="str">
            <v>1114 - Basura y materiales de desecho</v>
          </cell>
        </row>
        <row r="16">
          <cell r="B16" t="str">
            <v>1115 - Fibra, hilos e hilados</v>
          </cell>
        </row>
        <row r="17">
          <cell r="B17" t="str">
            <v>1116 - Tejidos (telas) y materiales de cuero</v>
          </cell>
        </row>
        <row r="18">
          <cell r="B18" t="str">
            <v>1117 - Aleaciones</v>
          </cell>
        </row>
        <row r="19">
          <cell r="B19" t="str">
            <v>1213 - Materiales explosivos y pirotecnia</v>
          </cell>
        </row>
        <row r="20">
          <cell r="B20" t="str">
            <v>1214 - Elementos y gases</v>
          </cell>
        </row>
        <row r="21">
          <cell r="B21" t="str">
            <v>1216 - Aditivos</v>
          </cell>
        </row>
        <row r="22">
          <cell r="B22" t="str">
            <v>1217 - Colorantes</v>
          </cell>
        </row>
        <row r="23">
          <cell r="B23" t="str">
            <v>1218 - Ceras y aceites</v>
          </cell>
        </row>
        <row r="24">
          <cell r="B24" t="str">
            <v>1219 - Solventes</v>
          </cell>
        </row>
        <row r="25">
          <cell r="B25" t="str">
            <v>1235 - Compuestos y mezclas</v>
          </cell>
        </row>
        <row r="26">
          <cell r="B26" t="str">
            <v>1310 - Caucho y elastómeros</v>
          </cell>
        </row>
        <row r="27">
          <cell r="B27" t="str">
            <v>1311 - Resinas, colofonias y otros materiales derivados de resina</v>
          </cell>
        </row>
        <row r="28">
          <cell r="B28" t="str">
            <v>1410 - Materiales de papel</v>
          </cell>
        </row>
        <row r="29">
          <cell r="B29" t="str">
            <v>1411 - Productos de papel</v>
          </cell>
        </row>
        <row r="30">
          <cell r="B30" t="str">
            <v>1412 - Papel para uso industrial</v>
          </cell>
        </row>
        <row r="31">
          <cell r="B31" t="str">
            <v>1510 - Combustibles</v>
          </cell>
        </row>
        <row r="32">
          <cell r="B32" t="str">
            <v>1511 - Combustibles gaseosos y aditivos</v>
          </cell>
        </row>
        <row r="33">
          <cell r="B33" t="str">
            <v>1512 - Lubricantes, aceites, grasas y anticorrosivos</v>
          </cell>
        </row>
        <row r="34">
          <cell r="B34" t="str">
            <v>2010 - Maquinaria y equipo de minería y explotación de canteras</v>
          </cell>
        </row>
        <row r="35">
          <cell r="B35" t="str">
            <v>2011 - Equipo de perforación y explotación de pozos</v>
          </cell>
        </row>
        <row r="36">
          <cell r="B36" t="str">
            <v>2012 - Equipo de perforación y exploración de petróleo y gas</v>
          </cell>
        </row>
        <row r="37">
          <cell r="B37" t="str">
            <v>2110 - Maquinaria y equipo para agricultura, silvicultura y paisaje</v>
          </cell>
        </row>
        <row r="38">
          <cell r="B38" t="str">
            <v>2111 - Equipo de pesca, acuicultura y suministros</v>
          </cell>
        </row>
        <row r="39">
          <cell r="B39" t="str">
            <v>2210 - Maquinaria y equipo pesado de construcción</v>
          </cell>
        </row>
        <row r="40">
          <cell r="B40" t="str">
            <v>2310 - Maquinaria para la transformación de materias primas</v>
          </cell>
        </row>
        <row r="41">
          <cell r="B41" t="str">
            <v>2312 - Maquinaria y accesorios de textiles y tejidos</v>
          </cell>
        </row>
        <row r="42">
          <cell r="B42" t="str">
            <v>2313 - Maquinaria y equipos lapidarios</v>
          </cell>
        </row>
        <row r="43">
          <cell r="B43" t="str">
            <v>2314 - Maquinaria para trabajo y reparación del cuero y accesorios</v>
          </cell>
        </row>
        <row r="44">
          <cell r="B44" t="str">
            <v>2315 - Maquinaria, equipo y suministros de procesos industriales</v>
          </cell>
        </row>
        <row r="45">
          <cell r="B45" t="str">
            <v>2316 - Máquinas, equipo y suministros para fundición</v>
          </cell>
        </row>
        <row r="46">
          <cell r="B46" t="str">
            <v>2317 - Maquinaria, equipo y suministros para talleres</v>
          </cell>
        </row>
        <row r="47">
          <cell r="B47" t="str">
            <v>2318 - Equipo industrial para alimentos y bebidas</v>
          </cell>
        </row>
        <row r="48">
          <cell r="B48" t="str">
            <v>2319 - Mezcladores y sus partes y accesorios</v>
          </cell>
        </row>
        <row r="49">
          <cell r="B49" t="str">
            <v>2320 - Equipamiento para transferencia de masa</v>
          </cell>
        </row>
        <row r="50">
          <cell r="B50" t="str">
            <v>2321 - Maquinaria de fabricación electrónica, equipo y accesorios</v>
          </cell>
        </row>
        <row r="51">
          <cell r="B51" t="str">
            <v>2323 - Equipo y maquinaria de procesamiento de madera y aserrado</v>
          </cell>
        </row>
        <row r="52">
          <cell r="B52" t="str">
            <v>2324 - Máquina cortadora de metal y Accesorios</v>
          </cell>
        </row>
        <row r="53">
          <cell r="B53" t="str">
            <v>2410 - Maquinaria y equipo para manejo de materiales</v>
          </cell>
        </row>
        <row r="54">
          <cell r="B54" t="str">
            <v>2411 - Recipientes y almacenamiento</v>
          </cell>
        </row>
        <row r="55">
          <cell r="B55" t="str">
            <v>2412 - Materiales de envasado</v>
          </cell>
        </row>
        <row r="56">
          <cell r="B56" t="str">
            <v>2413 - Refrigeración industrial</v>
          </cell>
        </row>
        <row r="57">
          <cell r="B57" t="str">
            <v>2414 - Suministros de embalaje</v>
          </cell>
        </row>
        <row r="58">
          <cell r="B58" t="str">
            <v>2510 - Vehículos de motor</v>
          </cell>
        </row>
        <row r="59">
          <cell r="B59" t="str">
            <v>2511 - Transporte marítimo</v>
          </cell>
        </row>
        <row r="60">
          <cell r="B60" t="str">
            <v>2512 - Maquinaria y equipo para ferrocarril y tranvías</v>
          </cell>
        </row>
        <row r="61">
          <cell r="B61" t="str">
            <v>2513 - Aviones, aeronaves</v>
          </cell>
        </row>
        <row r="62">
          <cell r="B62" t="str">
            <v>2516 - Bicicletas no motorizadas</v>
          </cell>
        </row>
        <row r="63">
          <cell r="B63" t="str">
            <v>2517 - Repuestos de Vehículos</v>
          </cell>
        </row>
        <row r="64">
          <cell r="B64" t="str">
            <v>2518 - Carrocerías y remolques</v>
          </cell>
        </row>
        <row r="65">
          <cell r="B65" t="str">
            <v>2519 - Equipo para servicios de transporte</v>
          </cell>
        </row>
        <row r="66">
          <cell r="B66" t="str">
            <v>2520 - Sistemas aeroespaciales y componentes y equipo</v>
          </cell>
        </row>
        <row r="67">
          <cell r="B67" t="str">
            <v>2610 - Fuentes de energía</v>
          </cell>
        </row>
        <row r="68">
          <cell r="B68" t="str">
            <v>2611 - Baterías y transmisiones de energía cinética</v>
          </cell>
        </row>
        <row r="69">
          <cell r="B69" t="str">
            <v>2612 - Alambres, cables o arneses</v>
          </cell>
        </row>
        <row r="70">
          <cell r="B70" t="str">
            <v>2613 - Generación de energía</v>
          </cell>
        </row>
        <row r="71">
          <cell r="B71" t="str">
            <v>2711 - Herramientas de mano</v>
          </cell>
        </row>
        <row r="72">
          <cell r="B72" t="str">
            <v>2712 - Maquinaria, accesorios y equipo hidráulico </v>
          </cell>
        </row>
        <row r="73">
          <cell r="B73" t="str">
            <v>2713 - Maquinaria y equipo neumático</v>
          </cell>
        </row>
        <row r="74">
          <cell r="B74" t="str">
            <v>2714 - Herramientas especializadas de automotores</v>
          </cell>
        </row>
        <row r="75">
          <cell r="B75" t="str">
            <v>3010 - Materiales estructurales y formas básicas</v>
          </cell>
        </row>
        <row r="76">
          <cell r="B76" t="str">
            <v>3011 - Hormigón, cemento, yeso y cal</v>
          </cell>
        </row>
        <row r="77">
          <cell r="B77" t="str">
            <v>3012 - Productos y Materia prima para mantenimiento de carreteras o caminos</v>
          </cell>
        </row>
        <row r="78">
          <cell r="B78" t="str">
            <v>3013 - Productos estructurales de construcción</v>
          </cell>
        </row>
        <row r="79">
          <cell r="B79" t="str">
            <v>3014 - Aislamiento</v>
          </cell>
        </row>
        <row r="80">
          <cell r="B80" t="str">
            <v>3015 - Materiales para acabado de exteriores</v>
          </cell>
        </row>
        <row r="81">
          <cell r="B81" t="str">
            <v>3016 - Materiales de acabado de interiores</v>
          </cell>
        </row>
        <row r="82">
          <cell r="B82" t="str">
            <v>3017 - Puertas, ventanas y vidrio</v>
          </cell>
        </row>
        <row r="83">
          <cell r="B83" t="str">
            <v>3018 - Instalaciones de baño</v>
          </cell>
        </row>
        <row r="84">
          <cell r="B84" t="str">
            <v>3019 - Equipo de apoyo para Construcción y Mantenimiento</v>
          </cell>
        </row>
        <row r="85">
          <cell r="B85" t="str">
            <v>3020 - Estructuras prefabricadas</v>
          </cell>
        </row>
        <row r="86">
          <cell r="B86" t="str">
            <v>3022 - Estructuras Permanentes</v>
          </cell>
        </row>
        <row r="87">
          <cell r="B87" t="str">
            <v>3115 - Cuerda, cadena, cable, alambre y correa</v>
          </cell>
        </row>
        <row r="88">
          <cell r="B88" t="str">
            <v>3116 - Ferretería</v>
          </cell>
        </row>
        <row r="89">
          <cell r="B89" t="str">
            <v>3117 - Balineras, bujes, ruedas y engranajes</v>
          </cell>
        </row>
        <row r="90">
          <cell r="B90" t="str">
            <v>3118 - Juntas obturadoras y empaques</v>
          </cell>
        </row>
        <row r="91">
          <cell r="B91" t="str">
            <v>3119 - Materiales de molduración, pulido y alisado</v>
          </cell>
        </row>
        <row r="92">
          <cell r="B92" t="str">
            <v>3120 - Pegamentos o adhesivos y sellantes</v>
          </cell>
        </row>
        <row r="93">
          <cell r="B93" t="str">
            <v>3121 - Pinturas, tapa poros y acabados</v>
          </cell>
        </row>
        <row r="94">
          <cell r="B94" t="str">
            <v>3122 - Extractos de teñir y de curtir</v>
          </cell>
        </row>
        <row r="95">
          <cell r="B95" t="str">
            <v>3123 - Materia prima en placas o barras labradas</v>
          </cell>
        </row>
        <row r="96">
          <cell r="B96" t="str">
            <v>3124 - Óptica industrial</v>
          </cell>
        </row>
        <row r="97">
          <cell r="B97" t="str">
            <v>3125 - Sistemas de control neumático, hidráulico o eléctrico</v>
          </cell>
        </row>
        <row r="98">
          <cell r="B98" t="str">
            <v>3126 - Cubiertas, cajas y envolturas</v>
          </cell>
        </row>
        <row r="99">
          <cell r="B99" t="str">
            <v>3127 - Piezas hechas a máquina</v>
          </cell>
        </row>
        <row r="100">
          <cell r="B100" t="str">
            <v>3210 - Circuitos impresos, circuitos integrados y micro ensamblajes</v>
          </cell>
        </row>
        <row r="101">
          <cell r="B101" t="str">
            <v>3211 - Dispositivos diodos, transistores y aparatos semiconductores</v>
          </cell>
        </row>
        <row r="102">
          <cell r="B102" t="str">
            <v>3212 - Componentes pasivos discretos</v>
          </cell>
        </row>
        <row r="103">
          <cell r="B103" t="str">
            <v>3213 - Equipo electrónico, componentes, partes y accesorios</v>
          </cell>
        </row>
        <row r="104">
          <cell r="B104" t="str">
            <v>3214 - Dispositivos de tubo electrónico y accesorios</v>
          </cell>
        </row>
        <row r="105">
          <cell r="B105" t="str">
            <v>3910 - Lámparas, bombillas y componentes para lámparas</v>
          </cell>
        </row>
        <row r="106">
          <cell r="B106" t="str">
            <v>3911 - Iluminación, artefactos y accesorios</v>
          </cell>
        </row>
        <row r="107">
          <cell r="B107" t="str">
            <v>3912 - Equipos, suministros y componentes eléctricos</v>
          </cell>
        </row>
        <row r="108">
          <cell r="B108" t="str">
            <v>4010 - Calefacción, ventilación y circulación del aire</v>
          </cell>
        </row>
        <row r="109">
          <cell r="B109" t="str">
            <v>4014 - Distribución de fluidos y gas</v>
          </cell>
        </row>
        <row r="110">
          <cell r="B110" t="str">
            <v>4015 - Bombas y compresores industriales</v>
          </cell>
        </row>
        <row r="111">
          <cell r="B111" t="str">
            <v>4016 - Filtrado y purificación industrial</v>
          </cell>
        </row>
        <row r="112">
          <cell r="B112" t="str">
            <v>4110 - Equipo de laboratorio y científico</v>
          </cell>
        </row>
        <row r="113">
          <cell r="B113" t="str">
            <v>4111 - Instrumentos de medida, observación y ensayo</v>
          </cell>
        </row>
        <row r="114">
          <cell r="B114" t="str">
            <v>4112 - Suministros y accesorios de laboratorio</v>
          </cell>
        </row>
        <row r="115">
          <cell r="B115" t="str">
            <v>4212 - Equipos y suministros veterinarios</v>
          </cell>
        </row>
        <row r="116">
          <cell r="B116" t="str">
            <v>4213 - Telas y vestidos médicos</v>
          </cell>
        </row>
        <row r="117">
          <cell r="B117" t="str">
            <v>4214 - Suministros y productos de tratamiento y cuidado del enfermo</v>
          </cell>
        </row>
        <row r="118">
          <cell r="B118" t="str">
            <v>4215 - Equipos y suministros dentales</v>
          </cell>
        </row>
        <row r="119">
          <cell r="B119" t="str">
            <v>4216 - Equipo de diálisis y suministros</v>
          </cell>
        </row>
        <row r="120">
          <cell r="B120" t="str">
            <v>4217 - Productos de servicio médico de urgencia</v>
          </cell>
        </row>
        <row r="121">
          <cell r="B121" t="str">
            <v>4218 - Productos de examen y control del paciente</v>
          </cell>
        </row>
        <row r="122">
          <cell r="B122" t="str">
            <v>4219 - Productos de facilidad médica</v>
          </cell>
        </row>
        <row r="123">
          <cell r="B123" t="str">
            <v>4220 - Productos de hacer imágenes diagnósticas médicas y de medicina nuclear</v>
          </cell>
        </row>
        <row r="124">
          <cell r="B124" t="str">
            <v>4221 - Ayuda para personas con desafíos físicos para vivir independiente</v>
          </cell>
        </row>
        <row r="125">
          <cell r="B125" t="str">
            <v>4222 - Productos para administración intravenosa y arterial</v>
          </cell>
        </row>
        <row r="126">
          <cell r="B126" t="str">
            <v>4223 - Productos, Suministros y Equipos de Nutrición Clínica</v>
          </cell>
        </row>
        <row r="127">
          <cell r="B127" t="str">
            <v>4224 - Productos medicinales de deportes, prostético y ortopédico</v>
          </cell>
        </row>
        <row r="128">
          <cell r="B128" t="str">
            <v>4225 - Productos de rehabilitación y terapia ocupacional y física</v>
          </cell>
        </row>
        <row r="129">
          <cell r="B129" t="str">
            <v>4226 - Equipo y suministros post mortem y funerarios</v>
          </cell>
        </row>
        <row r="130">
          <cell r="B130" t="str">
            <v>4227 - Productos de resucitación, anestesia y respiratorios</v>
          </cell>
        </row>
        <row r="131">
          <cell r="B131" t="str">
            <v>4228 - Productos para la esterilización médica</v>
          </cell>
        </row>
        <row r="132">
          <cell r="B132" t="str">
            <v>4229 - Productos quirúrgicos</v>
          </cell>
        </row>
        <row r="133">
          <cell r="B133" t="str">
            <v>4230 - Suministros para formación y estudios de medicina</v>
          </cell>
        </row>
        <row r="134">
          <cell r="B134" t="str">
            <v>4231 - Productos para el cuidado de heridas</v>
          </cell>
        </row>
        <row r="135">
          <cell r="B135" t="str">
            <v>4232 - Equipo de rehabilitación y terapia</v>
          </cell>
        </row>
        <row r="136">
          <cell r="B136" t="str">
            <v>4235 - Equipos quirúrgicos y endoscópicos</v>
          </cell>
        </row>
        <row r="137">
          <cell r="B137" t="str">
            <v>4319 - Dispositivos de comunicaciones y accesorios</v>
          </cell>
        </row>
        <row r="138">
          <cell r="B138" t="str">
            <v>4320 - Componentes para tecnología de la información, difusión o telecomunicaciones</v>
          </cell>
        </row>
        <row r="139">
          <cell r="B139" t="str">
            <v>4321 - Equipo informático y accesorios</v>
          </cell>
        </row>
        <row r="140">
          <cell r="B140" t="str">
            <v>4322 - Datos-voz, equipo de red multimedia, plataformas y accesorios</v>
          </cell>
        </row>
        <row r="141">
          <cell r="B141" t="str">
            <v>4323 - Software, programas</v>
          </cell>
        </row>
        <row r="142">
          <cell r="B142" t="str">
            <v>4410 - Maquinaria, suministros y accesorios de oficina</v>
          </cell>
        </row>
        <row r="143">
          <cell r="B143" t="str">
            <v>4411 - Accesorios de oficina y escritorio</v>
          </cell>
        </row>
        <row r="144">
          <cell r="B144" t="str">
            <v>4412 - Suministros de oficina</v>
          </cell>
        </row>
        <row r="145">
          <cell r="B145" t="str">
            <v>4510 - Equipo de imprenta y publicación</v>
          </cell>
        </row>
        <row r="146">
          <cell r="B146" t="str">
            <v>4511 - Equipo de presentación audiovisual</v>
          </cell>
        </row>
        <row r="147">
          <cell r="B147" t="str">
            <v>4512 - Equipo fotográfico y de grabación</v>
          </cell>
        </row>
        <row r="148">
          <cell r="B148" t="str">
            <v>4513 - Medios fotográficos y de grabación</v>
          </cell>
        </row>
        <row r="149">
          <cell r="B149" t="str">
            <v>4514 - Suministros fotográficos para cine</v>
          </cell>
        </row>
        <row r="150">
          <cell r="B150" t="str">
            <v>4610 - Armas ligeras y munición</v>
          </cell>
        </row>
        <row r="151">
          <cell r="B151" t="str">
            <v>4615 - Equipos de seguridad accesorios y suministros</v>
          </cell>
        </row>
        <row r="152">
          <cell r="B152" t="str">
            <v>4616 - Seguridad y control de tráfico</v>
          </cell>
        </row>
        <row r="153">
          <cell r="B153" t="str">
            <v>4617 - Seguridad, vigilancia y detección</v>
          </cell>
        </row>
        <row r="154">
          <cell r="B154" t="str">
            <v>4618 - Seguridad y protección personal</v>
          </cell>
        </row>
        <row r="155">
          <cell r="B155" t="str">
            <v>4619 - Protección contra incendios</v>
          </cell>
        </row>
        <row r="156">
          <cell r="B156" t="str">
            <v>4710 - Tratamiento, suministros, eliminación de agua y aguas residuales</v>
          </cell>
        </row>
        <row r="157">
          <cell r="B157" t="str">
            <v>4711 - Equipo industrial de lavandería y limpieza en seco</v>
          </cell>
        </row>
        <row r="158">
          <cell r="B158" t="str">
            <v>4712 - Equipo de limpieza</v>
          </cell>
        </row>
        <row r="159">
          <cell r="B159" t="str">
            <v>4713 - Suministros de limpieza</v>
          </cell>
        </row>
        <row r="160">
          <cell r="B160" t="str">
            <v>4810 - Equipos de servicios de alimentación para instituciones</v>
          </cell>
        </row>
        <row r="161">
          <cell r="B161" t="str">
            <v>4811 - Máquinas expendedoras</v>
          </cell>
        </row>
        <row r="162">
          <cell r="B162" t="str">
            <v>4910 - Arte, coleccionables y premios</v>
          </cell>
        </row>
        <row r="163">
          <cell r="B163" t="str">
            <v>4912 - Equipos y accesorios para acampada y exterior</v>
          </cell>
        </row>
        <row r="164">
          <cell r="B164" t="str">
            <v>4913 - Equipos de pesca y caza</v>
          </cell>
        </row>
        <row r="165">
          <cell r="B165" t="str">
            <v>4914 - Equipos para deportes acuáticos</v>
          </cell>
        </row>
        <row r="166">
          <cell r="B166" t="str">
            <v>4916 - Equipos deportivos para campos y canchas</v>
          </cell>
        </row>
        <row r="167">
          <cell r="B167" t="str">
            <v>4917 - Equipos de gimnasia y boxeo</v>
          </cell>
        </row>
        <row r="168">
          <cell r="B168" t="str">
            <v>4918 - Juegos y equipo de tiro y mesa</v>
          </cell>
        </row>
        <row r="169">
          <cell r="B169" t="str">
            <v>4920 - Equipo para entrenamiento físico</v>
          </cell>
        </row>
        <row r="170">
          <cell r="B170" t="str">
            <v>4921 - Otros deportes</v>
          </cell>
        </row>
        <row r="171">
          <cell r="B171" t="str">
            <v>4922 - Accesorios deportivos</v>
          </cell>
        </row>
        <row r="172">
          <cell r="B172" t="str">
            <v>4924 - Equipo de recreo y parques infantiles y equipo y suministros de natación y de spa</v>
          </cell>
        </row>
        <row r="173">
          <cell r="B173" t="str">
            <v>5010 - Frutas, verduras y granos básicos</v>
          </cell>
        </row>
        <row r="174">
          <cell r="B174" t="str">
            <v>5011 - Productos de carne y aves de corral</v>
          </cell>
        </row>
        <row r="175">
          <cell r="B175" t="str">
            <v>5012 - Pescados y mariscos</v>
          </cell>
        </row>
        <row r="176">
          <cell r="B176" t="str">
            <v>5013 - Productos lácteos y huevos</v>
          </cell>
        </row>
        <row r="177">
          <cell r="B177" t="str">
            <v>5015 - Aceites y grasas comestibles</v>
          </cell>
        </row>
        <row r="178">
          <cell r="B178" t="str">
            <v>5016 - Chocolates, azúcares, edulcorantes y productos de confitería</v>
          </cell>
        </row>
        <row r="179">
          <cell r="B179" t="str">
            <v>5017 - Aderezos o condimentos y conservantes</v>
          </cell>
        </row>
        <row r="180">
          <cell r="B180" t="str">
            <v>5018 - Productos de panadería</v>
          </cell>
        </row>
        <row r="181">
          <cell r="B181" t="str">
            <v>5019 - Alimentos preparados y conservados</v>
          </cell>
        </row>
        <row r="182">
          <cell r="B182" t="str">
            <v>5020 - Bebidas no alcohólicas</v>
          </cell>
        </row>
        <row r="183">
          <cell r="B183" t="str">
            <v>5021 - Tabaco y productos de fumar y substitutos</v>
          </cell>
        </row>
        <row r="184">
          <cell r="B184" t="str">
            <v>5022 - Productos de Cereales y Legumbres</v>
          </cell>
        </row>
        <row r="185">
          <cell r="B185" t="str">
            <v>5023 - Alimentos Varios</v>
          </cell>
        </row>
        <row r="186">
          <cell r="B186" t="str">
            <v>5024 - Licores</v>
          </cell>
        </row>
        <row r="187">
          <cell r="B187" t="str">
            <v>5110 - Medicamentos antiinfecciosos</v>
          </cell>
        </row>
        <row r="188">
          <cell r="B188" t="str">
            <v>5111 - Agentes antitumorales</v>
          </cell>
        </row>
        <row r="189">
          <cell r="B189" t="str">
            <v>5112 - Medicamentos cardiovasculares</v>
          </cell>
        </row>
        <row r="190">
          <cell r="B190" t="str">
            <v>5113 - Medicamentos hematólicos</v>
          </cell>
        </row>
        <row r="191">
          <cell r="B191" t="str">
            <v>5114 - Medicamentos para el sistema nervioso central</v>
          </cell>
        </row>
        <row r="192">
          <cell r="B192" t="str">
            <v>5115 - Medicamentos para el sistema nervioso autónomo</v>
          </cell>
        </row>
        <row r="193">
          <cell r="B193" t="str">
            <v>5116 - Medicamentos para afecciones del tracto respiratorio</v>
          </cell>
        </row>
        <row r="194">
          <cell r="B194" t="str">
            <v>5117 - Medicamentos para afecciones del sistema gastrointestinal</v>
          </cell>
        </row>
        <row r="195">
          <cell r="B195" t="str">
            <v>5118 - Hormonas y antagonistas hormonales</v>
          </cell>
        </row>
        <row r="196">
          <cell r="B196" t="str">
            <v>5119 - Agentes para afecciones del agua y los electrolitos</v>
          </cell>
        </row>
        <row r="197">
          <cell r="B197" t="str">
            <v>5120 - Medicamentos inmunomoduladores</v>
          </cell>
        </row>
        <row r="198">
          <cell r="B198" t="str">
            <v>5121 - Categorías de medicamentos varios</v>
          </cell>
        </row>
        <row r="199">
          <cell r="B199" t="str">
            <v>5124 - Fármacos que afectan a los oídos, los ojos, la nariz y la piel</v>
          </cell>
        </row>
        <row r="200">
          <cell r="B200" t="str">
            <v>5125 - Suplementos alimenticios veterinarios</v>
          </cell>
        </row>
        <row r="201">
          <cell r="B201" t="str">
            <v>5210 - Revestimientos para Pisos</v>
          </cell>
        </row>
        <row r="202">
          <cell r="B202" t="str">
            <v>5212 - Ropa de cama, mantelerías, paños de cocina y toallas</v>
          </cell>
        </row>
        <row r="203">
          <cell r="B203" t="str">
            <v>5213 - cortina, persiana  y accesorios de ventana </v>
          </cell>
        </row>
        <row r="204">
          <cell r="B204" t="str">
            <v>5214 - Aparatos electrodomésticos</v>
          </cell>
        </row>
        <row r="205">
          <cell r="B205" t="str">
            <v>5215 - Utensilios de cocina domésticos</v>
          </cell>
        </row>
        <row r="206">
          <cell r="B206" t="str">
            <v>5216 - Electrónica de consumo</v>
          </cell>
        </row>
        <row r="207">
          <cell r="B207" t="str">
            <v>5217 - Tratamientos de pared doméstica</v>
          </cell>
        </row>
        <row r="208">
          <cell r="B208" t="str">
            <v>5310 - Ropa</v>
          </cell>
        </row>
        <row r="209">
          <cell r="B209" t="str">
            <v>5311 - Calzado</v>
          </cell>
        </row>
        <row r="210">
          <cell r="B210" t="str">
            <v>5312 - Maletas, bolsos de mano, mochilas y estuches</v>
          </cell>
        </row>
        <row r="211">
          <cell r="B211" t="str">
            <v>5313 - Productos de Aseo Personal</v>
          </cell>
        </row>
        <row r="212">
          <cell r="B212" t="str">
            <v>5314 - Fuentes y accesorios de costura</v>
          </cell>
        </row>
        <row r="213">
          <cell r="B213" t="str">
            <v>5410 - Joyería</v>
          </cell>
        </row>
        <row r="214">
          <cell r="B214" t="str">
            <v>5411 - Relojes</v>
          </cell>
        </row>
        <row r="215">
          <cell r="B215" t="str">
            <v>5412 - Joyas</v>
          </cell>
        </row>
        <row r="216">
          <cell r="B216" t="str">
            <v>5510 - Medios impresos</v>
          </cell>
        </row>
        <row r="217">
          <cell r="B217" t="str">
            <v>5511 - Material electrónico de referencia</v>
          </cell>
        </row>
        <row r="218">
          <cell r="B218" t="str">
            <v>5512 - Etiquetado y accesorios</v>
          </cell>
        </row>
        <row r="219">
          <cell r="B219" t="str">
            <v>5610 - Muebles de comodidad</v>
          </cell>
        </row>
        <row r="220">
          <cell r="B220" t="str">
            <v>5611 - Muebles comerciales e industriales</v>
          </cell>
        </row>
        <row r="221">
          <cell r="B221" t="str">
            <v>5612 - Mobiliario institucional, escolar y educativo y accesorios</v>
          </cell>
        </row>
        <row r="222">
          <cell r="B222" t="str">
            <v>5613 - Muebles de Mercadotecnia y accesorios</v>
          </cell>
        </row>
        <row r="223">
          <cell r="B223" t="str">
            <v>6010 - Materiales didácticos profesionales y de desarrollo y accesorios y suministros</v>
          </cell>
        </row>
        <row r="224">
          <cell r="B224" t="str">
            <v>6011 - Decoraciones y suministros del aula</v>
          </cell>
        </row>
        <row r="225">
          <cell r="B225" t="str">
            <v>6012 - Arte, manualidades, accesorios y suministros</v>
          </cell>
        </row>
        <row r="226">
          <cell r="B226" t="str">
            <v>6013 - Instrumentos musicales, piezas y accesorios</v>
          </cell>
        </row>
        <row r="227">
          <cell r="B227" t="str">
            <v>6014 - Juguetes y juegos</v>
          </cell>
        </row>
        <row r="228">
          <cell r="B228" t="str">
            <v>7010 - Industrias pesqueras y acuicultura</v>
          </cell>
        </row>
        <row r="229">
          <cell r="B229" t="str">
            <v>7011 - Horticultura</v>
          </cell>
        </row>
        <row r="230">
          <cell r="B230" t="str">
            <v>7012 - Servicios de ganadería</v>
          </cell>
        </row>
        <row r="231">
          <cell r="B231" t="str">
            <v>7013 - Preparación, gestión y protección del terreno y del suelo</v>
          </cell>
        </row>
        <row r="232">
          <cell r="B232" t="str">
            <v>7014 - Producción, gestión y protección de cultivos</v>
          </cell>
        </row>
        <row r="233">
          <cell r="B233" t="str">
            <v>7015 - Cultivos forestales</v>
          </cell>
        </row>
        <row r="234">
          <cell r="B234" t="str">
            <v>7016 - Fauna y flora</v>
          </cell>
        </row>
        <row r="235">
          <cell r="B235" t="str">
            <v>7017 - Desarrollo y vigilancia de recursos hidráulicos</v>
          </cell>
        </row>
        <row r="236">
          <cell r="B236" t="str">
            <v>7110 - Servicios de minería</v>
          </cell>
        </row>
        <row r="237">
          <cell r="B237" t="str">
            <v>7111 - Servicios de Exploración petrolífera y de gas</v>
          </cell>
        </row>
        <row r="238">
          <cell r="B238" t="str">
            <v>7112 - Servicios de perforación, mantenimiento y construcción de pozos</v>
          </cell>
        </row>
        <row r="239">
          <cell r="B239" t="str">
            <v>7113 - Servicios de aumento de la extracción producción de gas y petróleo</v>
          </cell>
        </row>
        <row r="240">
          <cell r="B240" t="str">
            <v>7114 - Servicios de restauración y recuperación de gas y aceite</v>
          </cell>
        </row>
        <row r="241">
          <cell r="B241" t="str">
            <v>7115 - Servicios de procesamiento y gestión de datos del aceite y gas</v>
          </cell>
        </row>
        <row r="242">
          <cell r="B242" t="str">
            <v>7116 - Servicios de gerencia del proyecto de aceite y gas del pozo</v>
          </cell>
        </row>
        <row r="243">
          <cell r="B243" t="str">
            <v>7210 - Servicios de apoyo, mantenimiento y reparación para la construcción</v>
          </cell>
        </row>
        <row r="244">
          <cell r="B244" t="str">
            <v>7213 - Servicios de Construcción general</v>
          </cell>
        </row>
        <row r="245">
          <cell r="B245" t="str">
            <v>7310 - Industrias de plásticos y productos químicos</v>
          </cell>
        </row>
        <row r="246">
          <cell r="B246" t="str">
            <v>7311 - Industrias de la madera y el papel</v>
          </cell>
        </row>
        <row r="247">
          <cell r="B247" t="str">
            <v>7312 - Industrias del metal y de minerales</v>
          </cell>
        </row>
        <row r="248">
          <cell r="B248" t="str">
            <v>7313 - Industrias de alimentos y bebidas</v>
          </cell>
        </row>
        <row r="249">
          <cell r="B249" t="str">
            <v>7314 - Industrias de fibras, textiles y de tejidos</v>
          </cell>
        </row>
        <row r="250">
          <cell r="B250" t="str">
            <v>7315 - Servicios de mantenimiento y alquiler de equipos</v>
          </cell>
        </row>
        <row r="251">
          <cell r="B251" t="str">
            <v>7316 - Fabricación de maquinaria y equipo de transporte</v>
          </cell>
        </row>
        <row r="252">
          <cell r="B252" t="str">
            <v>7317 - Fabricación de productos eléctricos e instrumentos de precisión</v>
          </cell>
        </row>
        <row r="253">
          <cell r="B253" t="str">
            <v>7318 - Servicios de procesado y trabajo con máquinas</v>
          </cell>
        </row>
        <row r="254">
          <cell r="B254" t="str">
            <v>7610 - Servicios de descontaminación</v>
          </cell>
        </row>
        <row r="255">
          <cell r="B255" t="str">
            <v>7611 - Servicios de limpieza y de conserjería</v>
          </cell>
        </row>
        <row r="256">
          <cell r="B256" t="str">
            <v>7612 - Eliminación y tratamiento de desechos</v>
          </cell>
        </row>
        <row r="257">
          <cell r="B257" t="str">
            <v>7613 - Limpieza de residuos tóxicos y peligrosos</v>
          </cell>
        </row>
        <row r="258">
          <cell r="B258" t="str">
            <v>7710 - Gestión medioambiental</v>
          </cell>
        </row>
        <row r="259">
          <cell r="B259" t="str">
            <v>7711 - Protección medioambiental</v>
          </cell>
        </row>
        <row r="260">
          <cell r="B260" t="str">
            <v>7712 - Seguimiento, control y rehabilitación de la contaminación</v>
          </cell>
        </row>
        <row r="261">
          <cell r="B261" t="str">
            <v>7713 - Servicios de seguimiento, control o rehabilitación de contaminantes</v>
          </cell>
        </row>
        <row r="262">
          <cell r="B262" t="str">
            <v>7810 - Transporte de correo y carga</v>
          </cell>
        </row>
        <row r="263">
          <cell r="B263" t="str">
            <v>7811 - Transporte de pasajeros</v>
          </cell>
        </row>
        <row r="264">
          <cell r="B264" t="str">
            <v>7812 - Manejo y embalaje de material</v>
          </cell>
        </row>
        <row r="265">
          <cell r="B265" t="str">
            <v>7813 - Almacenaje</v>
          </cell>
        </row>
        <row r="266">
          <cell r="B266" t="str">
            <v>7814 - Operaciones de transporte</v>
          </cell>
        </row>
        <row r="267">
          <cell r="B267" t="str">
            <v>7818 - Servicios de Reparación de Vehículos</v>
          </cell>
        </row>
        <row r="268">
          <cell r="B268" t="str">
            <v>7819 - Servicio de Apoyo de Transporte</v>
          </cell>
        </row>
        <row r="269">
          <cell r="B269" t="str">
            <v>7820 - Servicio de mantenimiento de aeronaves</v>
          </cell>
        </row>
        <row r="270">
          <cell r="B270" t="str">
            <v>8010 - Servicios de asesoría de gestión</v>
          </cell>
        </row>
        <row r="271">
          <cell r="B271" t="str">
            <v>8011 - Servicios de recursos humanos</v>
          </cell>
        </row>
        <row r="272">
          <cell r="B272" t="str">
            <v>8012 - Servicios legales</v>
          </cell>
        </row>
        <row r="273">
          <cell r="B273" t="str">
            <v>8013 - Servicios inmobiliarios</v>
          </cell>
        </row>
        <row r="274">
          <cell r="B274" t="str">
            <v>8014 - Comercialización y distribución</v>
          </cell>
        </row>
        <row r="275">
          <cell r="B275" t="str">
            <v>8015 - Política comercial y servicios (Representaciones Comerciales)</v>
          </cell>
        </row>
        <row r="276">
          <cell r="B276" t="str">
            <v>8016 - Servicios de administración de empresas</v>
          </cell>
        </row>
        <row r="277">
          <cell r="B277" t="str">
            <v>8110 - Servicios profesionales de ingeniería</v>
          </cell>
        </row>
        <row r="278">
          <cell r="B278" t="str">
            <v>8111 - Servicios informáticos</v>
          </cell>
        </row>
        <row r="279">
          <cell r="B279" t="str">
            <v>8112 - Economía</v>
          </cell>
        </row>
        <row r="280">
          <cell r="B280" t="str">
            <v>8113 - Estadísticas</v>
          </cell>
        </row>
        <row r="281">
          <cell r="B281" t="str">
            <v>8114 - Tecnologías de fabricación</v>
          </cell>
        </row>
        <row r="282">
          <cell r="B282" t="str">
            <v>8115 - Servicios de pedología</v>
          </cell>
        </row>
        <row r="283">
          <cell r="B283" t="str">
            <v>8116 - Servicio de entrega de tecnología de Información</v>
          </cell>
        </row>
        <row r="284">
          <cell r="B284" t="str">
            <v>8210 - Publicidad</v>
          </cell>
        </row>
        <row r="285">
          <cell r="B285" t="str">
            <v>8211 - Escritura y traducciones</v>
          </cell>
        </row>
        <row r="286">
          <cell r="B286" t="str">
            <v>8212 - Servicios de reproducción</v>
          </cell>
        </row>
        <row r="287">
          <cell r="B287" t="str">
            <v>8213 - Servicios fotográficos</v>
          </cell>
        </row>
        <row r="288">
          <cell r="B288" t="str">
            <v>8214 - Diseño gráfico</v>
          </cell>
        </row>
        <row r="289">
          <cell r="B289" t="str">
            <v>8215 - Artistas e intérpretes profesionales</v>
          </cell>
        </row>
        <row r="290">
          <cell r="B290" t="str">
            <v>8310 - Servicios públicos</v>
          </cell>
        </row>
        <row r="291">
          <cell r="B291" t="str">
            <v>8311 - Servicios de medios de telecomunicaciones</v>
          </cell>
        </row>
        <row r="292">
          <cell r="B292" t="str">
            <v>8312 - Servicios de información</v>
          </cell>
        </row>
        <row r="293">
          <cell r="B293" t="str">
            <v>8410 - Finanzas de desarrollo</v>
          </cell>
        </row>
        <row r="294">
          <cell r="B294" t="str">
            <v>8411 - Contabilidad y auditorias</v>
          </cell>
        </row>
        <row r="295">
          <cell r="B295" t="str">
            <v>8412 - Banca e inversiones</v>
          </cell>
        </row>
        <row r="296">
          <cell r="B296" t="str">
            <v>8413 - Servicios de seguros y jubilación</v>
          </cell>
        </row>
        <row r="297">
          <cell r="B297" t="str">
            <v>8414 - Agencias de crédito</v>
          </cell>
        </row>
        <row r="298">
          <cell r="B298" t="str">
            <v>8510 - Servicios sanitarios integrales</v>
          </cell>
        </row>
        <row r="299">
          <cell r="B299" t="str">
            <v>8511 - Prevención y control de enfermedades</v>
          </cell>
        </row>
        <row r="300">
          <cell r="B300" t="str">
            <v>8512 - Práctica médica</v>
          </cell>
        </row>
        <row r="301">
          <cell r="B301" t="str">
            <v>8513 - Ciencia médica, investigación y experimentación</v>
          </cell>
        </row>
        <row r="302">
          <cell r="B302" t="str">
            <v>8514 - Medicina alternativa y holística</v>
          </cell>
        </row>
        <row r="303">
          <cell r="B303" t="str">
            <v>8515 - Servicios alimentarios y de nutrición</v>
          </cell>
        </row>
        <row r="304">
          <cell r="B304" t="str">
            <v>8516 - Restauración de mantenimiento de equipo médico quirúrgica y servicios de reparación</v>
          </cell>
        </row>
        <row r="305">
          <cell r="B305" t="str">
            <v>8610 - Formación profesional (Capacitación)</v>
          </cell>
        </row>
        <row r="306">
          <cell r="B306" t="str">
            <v>8611 - Sistemas educativos alternativos</v>
          </cell>
        </row>
        <row r="307">
          <cell r="B307" t="str">
            <v>8612 - Servicios de Instituciones educativas</v>
          </cell>
        </row>
        <row r="308">
          <cell r="B308" t="str">
            <v>8613 - Servicios educativos especializados</v>
          </cell>
        </row>
        <row r="309">
          <cell r="B309" t="str">
            <v>8614 - Servicios Educacionales</v>
          </cell>
        </row>
        <row r="310">
          <cell r="B310" t="str">
            <v>9010 - Restaurantes y catering (servicios de comidas y bebidas)</v>
          </cell>
        </row>
        <row r="311">
          <cell r="B311" t="str">
            <v>9011 - Instalaciones hoteleras, alojamientos y centros de encuentros</v>
          </cell>
        </row>
        <row r="312">
          <cell r="B312" t="str">
            <v>9012 - Facilitación de viajes</v>
          </cell>
        </row>
        <row r="313">
          <cell r="B313" t="str">
            <v>9013 - Artes interpretativas</v>
          </cell>
        </row>
        <row r="314">
          <cell r="B314" t="str">
            <v>9014 - Deportes comerciales</v>
          </cell>
        </row>
        <row r="315">
          <cell r="B315" t="str">
            <v>9015 - Servicios de entretenimiento</v>
          </cell>
        </row>
        <row r="316">
          <cell r="B316" t="str">
            <v>9110 - Aspecto personal</v>
          </cell>
        </row>
        <row r="317">
          <cell r="B317" t="str">
            <v>9111 - Asistencia doméstica y personal</v>
          </cell>
        </row>
        <row r="318">
          <cell r="B318" t="str">
            <v>9210 - Orden público y seguridad</v>
          </cell>
        </row>
        <row r="319">
          <cell r="B319" t="str">
            <v>9211 - Servicios militares o defensa nacional</v>
          </cell>
        </row>
        <row r="320">
          <cell r="B320" t="str">
            <v>9212 - Seguridad y protección personal</v>
          </cell>
        </row>
        <row r="321">
          <cell r="B321" t="str">
            <v>9310 - Sistemas e instituciones políticas</v>
          </cell>
        </row>
        <row r="322">
          <cell r="B322" t="str">
            <v>9311 - Condiciones sociopolíticas</v>
          </cell>
        </row>
        <row r="323">
          <cell r="B323" t="str">
            <v>9312 - Relaciones internacionales</v>
          </cell>
        </row>
        <row r="324">
          <cell r="B324" t="str">
            <v>9313 - Ayuda y asistencia humanitaria</v>
          </cell>
        </row>
        <row r="325">
          <cell r="B325" t="str">
            <v>9314 - Servicios comunitarios y sociales</v>
          </cell>
        </row>
        <row r="326">
          <cell r="B326" t="str">
            <v>9315 - Servicios de administración y financiación pública</v>
          </cell>
        </row>
        <row r="327">
          <cell r="B327" t="str">
            <v>9316 - Tributación</v>
          </cell>
        </row>
        <row r="328">
          <cell r="B328" t="str">
            <v>9317 - Política y regulación comercial</v>
          </cell>
        </row>
        <row r="329">
          <cell r="B329" t="str">
            <v>9410 - Organizaciones laborales</v>
          </cell>
        </row>
        <row r="330">
          <cell r="B330" t="str">
            <v>9411 - Organizaciones religiosas</v>
          </cell>
        </row>
        <row r="331">
          <cell r="B331" t="str">
            <v>9412 - Clubes</v>
          </cell>
        </row>
        <row r="332">
          <cell r="B332" t="str">
            <v>9413 - Organizaciones, asociaciones y movimientos cívicos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picado2014@yahoo.com" TargetMode="External" /><Relationship Id="rId2" Type="http://schemas.openxmlformats.org/officeDocument/2006/relationships/hyperlink" Target="mailto:dfuentes@marena.gob.ni" TargetMode="External" /><Relationship Id="rId3" Type="http://schemas.openxmlformats.org/officeDocument/2006/relationships/hyperlink" Target="mailto:tsequeira@marena.gob.ni" TargetMode="External" /><Relationship Id="rId4" Type="http://schemas.openxmlformats.org/officeDocument/2006/relationships/hyperlink" Target="mailto:fernanda.sanchez@undp.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lpicado14@yahoo.com"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R177"/>
  <sheetViews>
    <sheetView zoomScale="120" zoomScaleNormal="120" zoomScalePageLayoutView="0" workbookViewId="0" topLeftCell="A36">
      <selection activeCell="D31" sqref="D31"/>
    </sheetView>
  </sheetViews>
  <sheetFormatPr defaultColWidth="11.421875" defaultRowHeight="15"/>
  <cols>
    <col min="1" max="1" width="2.421875" style="1" customWidth="1"/>
    <col min="2" max="2" width="10.8515625" style="152" customWidth="1"/>
    <col min="3" max="3" width="14.8515625" style="152" customWidth="1"/>
    <col min="4" max="4" width="102.28125" style="1" customWidth="1"/>
    <col min="5" max="5" width="5.140625" style="1" customWidth="1"/>
    <col min="6" max="6" width="11.421875" style="1" customWidth="1"/>
    <col min="7" max="7" width="3.7109375" style="1" customWidth="1"/>
    <col min="8" max="8" width="11.42187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11.421875" style="1" customWidth="1"/>
    <col min="254" max="254" width="2.7109375" style="1" customWidth="1"/>
    <col min="255" max="16384" width="11.421875" style="1" customWidth="1"/>
  </cols>
  <sheetData>
    <row r="1" ht="15.75" thickBot="1"/>
    <row r="2" spans="2:7" ht="15.75" thickBot="1">
      <c r="B2" s="153"/>
      <c r="C2" s="154"/>
      <c r="D2" s="94"/>
      <c r="E2" s="94"/>
      <c r="F2" s="94"/>
      <c r="G2" s="95"/>
    </row>
    <row r="3" spans="2:7" ht="19.5" thickBot="1">
      <c r="B3" s="155"/>
      <c r="C3" s="156"/>
      <c r="D3" s="107" t="s">
        <v>272</v>
      </c>
      <c r="E3" s="96"/>
      <c r="F3" s="96"/>
      <c r="G3" s="97"/>
    </row>
    <row r="4" spans="2:7" ht="15.75" thickBot="1">
      <c r="B4" s="155"/>
      <c r="C4" s="156"/>
      <c r="D4" s="96"/>
      <c r="E4" s="96"/>
      <c r="F4" s="96"/>
      <c r="G4" s="97"/>
    </row>
    <row r="5" spans="2:7" ht="15.75" thickBot="1">
      <c r="B5" s="155"/>
      <c r="C5" s="159" t="s">
        <v>335</v>
      </c>
      <c r="D5" s="306" t="s">
        <v>518</v>
      </c>
      <c r="E5" s="96"/>
      <c r="F5" s="96"/>
      <c r="G5" s="97"/>
    </row>
    <row r="6" spans="2:18" s="3" customFormat="1" ht="15.75" thickBot="1">
      <c r="B6" s="157"/>
      <c r="C6" s="105"/>
      <c r="D6" s="62"/>
      <c r="E6" s="62"/>
      <c r="F6" s="62"/>
      <c r="G6" s="60"/>
      <c r="I6" s="2"/>
      <c r="J6" s="2"/>
      <c r="K6" s="2"/>
      <c r="L6" s="2"/>
      <c r="M6" s="2"/>
      <c r="N6" s="2"/>
      <c r="O6" s="2"/>
      <c r="P6" s="2"/>
      <c r="Q6" s="2"/>
      <c r="R6" s="2"/>
    </row>
    <row r="7" spans="2:18" s="3" customFormat="1" ht="30.75" customHeight="1" thickBot="1">
      <c r="B7" s="157"/>
      <c r="C7" s="98" t="s">
        <v>214</v>
      </c>
      <c r="D7" s="298" t="s">
        <v>337</v>
      </c>
      <c r="E7" s="62"/>
      <c r="F7" s="62"/>
      <c r="G7" s="60"/>
      <c r="I7" s="2"/>
      <c r="J7" s="2"/>
      <c r="K7" s="2"/>
      <c r="L7" s="2"/>
      <c r="M7" s="2"/>
      <c r="N7" s="2"/>
      <c r="O7" s="2"/>
      <c r="P7" s="2"/>
      <c r="Q7" s="2"/>
      <c r="R7" s="2"/>
    </row>
    <row r="8" spans="2:18" s="3" customFormat="1" ht="15" hidden="1">
      <c r="B8" s="155"/>
      <c r="C8" s="156"/>
      <c r="D8" s="96"/>
      <c r="E8" s="96"/>
      <c r="F8" s="96"/>
      <c r="G8" s="60"/>
      <c r="I8" s="2"/>
      <c r="J8" s="2"/>
      <c r="K8" s="2"/>
      <c r="L8" s="2"/>
      <c r="M8" s="2"/>
      <c r="N8" s="2"/>
      <c r="O8" s="2"/>
      <c r="P8" s="2"/>
      <c r="Q8" s="2"/>
      <c r="R8" s="2"/>
    </row>
    <row r="9" spans="2:18" s="3" customFormat="1" ht="15" hidden="1">
      <c r="B9" s="155"/>
      <c r="C9" s="156"/>
      <c r="D9" s="96"/>
      <c r="E9" s="96"/>
      <c r="F9" s="96"/>
      <c r="G9" s="60"/>
      <c r="I9" s="2"/>
      <c r="J9" s="2"/>
      <c r="K9" s="2"/>
      <c r="L9" s="2"/>
      <c r="M9" s="2"/>
      <c r="N9" s="2"/>
      <c r="O9" s="2"/>
      <c r="P9" s="2"/>
      <c r="Q9" s="2"/>
      <c r="R9" s="2"/>
    </row>
    <row r="10" spans="2:18" s="3" customFormat="1" ht="15" hidden="1">
      <c r="B10" s="155"/>
      <c r="C10" s="156"/>
      <c r="D10" s="96"/>
      <c r="E10" s="96"/>
      <c r="F10" s="96"/>
      <c r="G10" s="60"/>
      <c r="I10" s="2"/>
      <c r="J10" s="2"/>
      <c r="K10" s="2"/>
      <c r="L10" s="2"/>
      <c r="M10" s="2"/>
      <c r="N10" s="2"/>
      <c r="O10" s="2"/>
      <c r="P10" s="2"/>
      <c r="Q10" s="2"/>
      <c r="R10" s="2"/>
    </row>
    <row r="11" spans="2:18" s="3" customFormat="1" ht="15" hidden="1">
      <c r="B11" s="155"/>
      <c r="C11" s="156"/>
      <c r="D11" s="96"/>
      <c r="E11" s="96"/>
      <c r="F11" s="96"/>
      <c r="G11" s="60"/>
      <c r="I11" s="2"/>
      <c r="J11" s="2"/>
      <c r="K11" s="2"/>
      <c r="L11" s="2"/>
      <c r="M11" s="2"/>
      <c r="N11" s="2"/>
      <c r="O11" s="2"/>
      <c r="P11" s="2"/>
      <c r="Q11" s="2"/>
      <c r="R11" s="2"/>
    </row>
    <row r="12" spans="2:18" s="3" customFormat="1" ht="15.75" thickBot="1">
      <c r="B12" s="157"/>
      <c r="C12" s="105"/>
      <c r="D12" s="62"/>
      <c r="E12" s="62"/>
      <c r="F12" s="62"/>
      <c r="G12" s="60"/>
      <c r="I12" s="2"/>
      <c r="J12" s="2"/>
      <c r="K12" s="2"/>
      <c r="L12" s="2"/>
      <c r="M12" s="2"/>
      <c r="N12" s="2"/>
      <c r="O12" s="2"/>
      <c r="P12" s="2"/>
      <c r="Q12" s="2"/>
      <c r="R12" s="2"/>
    </row>
    <row r="13" spans="2:18" s="3" customFormat="1" ht="143.25" customHeight="1" thickBot="1">
      <c r="B13" s="157"/>
      <c r="C13" s="99" t="s">
        <v>0</v>
      </c>
      <c r="D13" s="298" t="s">
        <v>505</v>
      </c>
      <c r="E13" s="62"/>
      <c r="F13" s="62"/>
      <c r="G13" s="60"/>
      <c r="I13" s="2"/>
      <c r="J13" s="2"/>
      <c r="K13" s="2"/>
      <c r="L13" s="2"/>
      <c r="M13" s="2"/>
      <c r="N13" s="2"/>
      <c r="O13" s="2"/>
      <c r="P13" s="2"/>
      <c r="Q13" s="2"/>
      <c r="R13" s="2"/>
    </row>
    <row r="14" spans="2:18" s="3" customFormat="1" ht="15.75" thickBot="1">
      <c r="B14" s="157"/>
      <c r="C14" s="105"/>
      <c r="D14" s="62"/>
      <c r="E14" s="62"/>
      <c r="F14" s="62"/>
      <c r="G14" s="60"/>
      <c r="I14" s="2"/>
      <c r="J14" s="2" t="s">
        <v>1</v>
      </c>
      <c r="K14" s="2" t="s">
        <v>2</v>
      </c>
      <c r="L14" s="2"/>
      <c r="M14" s="2" t="s">
        <v>3</v>
      </c>
      <c r="N14" s="2" t="s">
        <v>4</v>
      </c>
      <c r="O14" s="2" t="s">
        <v>5</v>
      </c>
      <c r="P14" s="2" t="s">
        <v>6</v>
      </c>
      <c r="Q14" s="2" t="s">
        <v>7</v>
      </c>
      <c r="R14" s="2" t="s">
        <v>8</v>
      </c>
    </row>
    <row r="15" spans="2:18" s="3" customFormat="1" ht="15">
      <c r="B15" s="157"/>
      <c r="C15" s="100" t="s">
        <v>204</v>
      </c>
      <c r="D15" s="16" t="s">
        <v>355</v>
      </c>
      <c r="E15" s="62"/>
      <c r="F15" s="62"/>
      <c r="G15" s="60"/>
      <c r="I15" s="2"/>
      <c r="J15" s="4" t="s">
        <v>9</v>
      </c>
      <c r="K15" s="2" t="s">
        <v>10</v>
      </c>
      <c r="L15" s="2" t="s">
        <v>11</v>
      </c>
      <c r="M15" s="2" t="s">
        <v>12</v>
      </c>
      <c r="N15" s="2">
        <v>1</v>
      </c>
      <c r="O15" s="2">
        <v>1</v>
      </c>
      <c r="P15" s="2" t="s">
        <v>13</v>
      </c>
      <c r="Q15" s="2" t="s">
        <v>14</v>
      </c>
      <c r="R15" s="2" t="s">
        <v>15</v>
      </c>
    </row>
    <row r="16" spans="2:18" s="3" customFormat="1" ht="29.25" customHeight="1">
      <c r="B16" s="416" t="s">
        <v>318</v>
      </c>
      <c r="C16" s="417"/>
      <c r="D16" s="17" t="s">
        <v>338</v>
      </c>
      <c r="E16" s="62"/>
      <c r="F16" s="62"/>
      <c r="G16" s="60"/>
      <c r="I16" s="2"/>
      <c r="J16" s="4" t="s">
        <v>16</v>
      </c>
      <c r="K16" s="2" t="s">
        <v>17</v>
      </c>
      <c r="L16" s="2" t="s">
        <v>18</v>
      </c>
      <c r="M16" s="2" t="s">
        <v>19</v>
      </c>
      <c r="N16" s="2">
        <v>2</v>
      </c>
      <c r="O16" s="2">
        <v>2</v>
      </c>
      <c r="P16" s="2" t="s">
        <v>20</v>
      </c>
      <c r="Q16" s="2" t="s">
        <v>21</v>
      </c>
      <c r="R16" s="2" t="s">
        <v>22</v>
      </c>
    </row>
    <row r="17" spans="2:18" s="3" customFormat="1" ht="15">
      <c r="B17" s="157"/>
      <c r="C17" s="100" t="s">
        <v>210</v>
      </c>
      <c r="D17" s="17" t="s">
        <v>339</v>
      </c>
      <c r="E17" s="62"/>
      <c r="F17" s="62"/>
      <c r="G17" s="60"/>
      <c r="I17" s="2"/>
      <c r="J17" s="4" t="s">
        <v>23</v>
      </c>
      <c r="K17" s="2" t="s">
        <v>24</v>
      </c>
      <c r="L17" s="2"/>
      <c r="M17" s="2" t="s">
        <v>25</v>
      </c>
      <c r="N17" s="2">
        <v>3</v>
      </c>
      <c r="O17" s="2">
        <v>3</v>
      </c>
      <c r="P17" s="2" t="s">
        <v>26</v>
      </c>
      <c r="Q17" s="2" t="s">
        <v>27</v>
      </c>
      <c r="R17" s="2" t="s">
        <v>28</v>
      </c>
    </row>
    <row r="18" spans="2:18" s="3" customFormat="1" ht="15.75" thickBot="1">
      <c r="B18" s="158"/>
      <c r="C18" s="99" t="s">
        <v>205</v>
      </c>
      <c r="D18" s="150" t="s">
        <v>134</v>
      </c>
      <c r="E18" s="62"/>
      <c r="F18" s="62"/>
      <c r="G18" s="60"/>
      <c r="I18" s="2"/>
      <c r="J18" s="4" t="s">
        <v>29</v>
      </c>
      <c r="K18" s="2"/>
      <c r="L18" s="2"/>
      <c r="M18" s="2" t="s">
        <v>30</v>
      </c>
      <c r="N18" s="2">
        <v>5</v>
      </c>
      <c r="O18" s="2">
        <v>5</v>
      </c>
      <c r="P18" s="2" t="s">
        <v>31</v>
      </c>
      <c r="Q18" s="2" t="s">
        <v>32</v>
      </c>
      <c r="R18" s="2" t="s">
        <v>33</v>
      </c>
    </row>
    <row r="19" spans="2:18" s="3" customFormat="1" ht="44.25" customHeight="1" thickBot="1">
      <c r="B19" s="419" t="s">
        <v>206</v>
      </c>
      <c r="C19" s="420"/>
      <c r="D19" s="173" t="s">
        <v>347</v>
      </c>
      <c r="E19" s="62"/>
      <c r="F19" s="62"/>
      <c r="G19" s="60"/>
      <c r="I19" s="2"/>
      <c r="J19" s="4" t="s">
        <v>34</v>
      </c>
      <c r="K19" s="2"/>
      <c r="L19" s="2"/>
      <c r="M19" s="2" t="s">
        <v>35</v>
      </c>
      <c r="N19" s="2"/>
      <c r="O19" s="2"/>
      <c r="P19" s="2"/>
      <c r="Q19" s="2" t="s">
        <v>36</v>
      </c>
      <c r="R19" s="2" t="s">
        <v>37</v>
      </c>
    </row>
    <row r="20" spans="2:16" s="3" customFormat="1" ht="15">
      <c r="B20" s="157"/>
      <c r="C20" s="99"/>
      <c r="D20" s="62"/>
      <c r="E20" s="62"/>
      <c r="F20" s="62"/>
      <c r="G20" s="97"/>
      <c r="H20" s="4"/>
      <c r="I20" s="2"/>
      <c r="J20" s="2"/>
      <c r="L20" s="2"/>
      <c r="M20" s="2"/>
      <c r="N20" s="2"/>
      <c r="O20" s="2" t="s">
        <v>38</v>
      </c>
      <c r="P20" s="2" t="s">
        <v>39</v>
      </c>
    </row>
    <row r="21" spans="2:16" s="3" customFormat="1" ht="15">
      <c r="B21" s="157"/>
      <c r="C21" s="159" t="s">
        <v>209</v>
      </c>
      <c r="D21" s="62"/>
      <c r="E21" s="62"/>
      <c r="F21" s="62"/>
      <c r="G21" s="97"/>
      <c r="H21" s="4"/>
      <c r="I21" s="2"/>
      <c r="J21" s="2"/>
      <c r="L21" s="2"/>
      <c r="M21" s="2"/>
      <c r="N21" s="2"/>
      <c r="O21" s="2" t="s">
        <v>40</v>
      </c>
      <c r="P21" s="2" t="s">
        <v>41</v>
      </c>
    </row>
    <row r="22" spans="2:18" s="3" customFormat="1" ht="15.75" thickBot="1">
      <c r="B22" s="157"/>
      <c r="C22" s="160" t="s">
        <v>212</v>
      </c>
      <c r="D22" s="62"/>
      <c r="E22" s="101"/>
      <c r="F22" s="62"/>
      <c r="G22" s="60"/>
      <c r="I22" s="2"/>
      <c r="J22" s="4" t="s">
        <v>42</v>
      </c>
      <c r="K22" s="2"/>
      <c r="L22" s="2"/>
      <c r="N22" s="2"/>
      <c r="O22" s="2"/>
      <c r="P22" s="2"/>
      <c r="Q22" s="2" t="s">
        <v>43</v>
      </c>
      <c r="R22" s="2" t="s">
        <v>44</v>
      </c>
    </row>
    <row r="23" spans="2:18" s="3" customFormat="1" ht="15">
      <c r="B23" s="416" t="s">
        <v>211</v>
      </c>
      <c r="C23" s="417"/>
      <c r="D23" s="414" t="s">
        <v>341</v>
      </c>
      <c r="E23" s="101"/>
      <c r="F23" s="62"/>
      <c r="G23" s="60"/>
      <c r="I23" s="2"/>
      <c r="J23" s="4"/>
      <c r="K23" s="2"/>
      <c r="L23" s="2"/>
      <c r="N23" s="2"/>
      <c r="O23" s="2"/>
      <c r="P23" s="2"/>
      <c r="Q23" s="2"/>
      <c r="R23" s="2"/>
    </row>
    <row r="24" spans="2:18" s="3" customFormat="1" ht="4.5" customHeight="1">
      <c r="B24" s="416"/>
      <c r="C24" s="417"/>
      <c r="D24" s="415"/>
      <c r="E24" s="101"/>
      <c r="F24" s="62"/>
      <c r="G24" s="60"/>
      <c r="I24" s="2"/>
      <c r="J24" s="4"/>
      <c r="K24" s="2"/>
      <c r="L24" s="2"/>
      <c r="N24" s="2"/>
      <c r="O24" s="2"/>
      <c r="P24" s="2"/>
      <c r="Q24" s="2"/>
      <c r="R24" s="2"/>
    </row>
    <row r="25" spans="2:17" s="3" customFormat="1" ht="27.75" customHeight="1">
      <c r="B25" s="416" t="s">
        <v>326</v>
      </c>
      <c r="C25" s="417"/>
      <c r="D25" s="170" t="s">
        <v>340</v>
      </c>
      <c r="E25" s="62"/>
      <c r="F25" s="62"/>
      <c r="G25" s="60"/>
      <c r="H25" s="2"/>
      <c r="I25" s="4"/>
      <c r="J25" s="2"/>
      <c r="K25" s="2"/>
      <c r="M25" s="2"/>
      <c r="N25" s="2"/>
      <c r="O25" s="2"/>
      <c r="P25" s="2" t="s">
        <v>45</v>
      </c>
      <c r="Q25" s="2" t="s">
        <v>46</v>
      </c>
    </row>
    <row r="26" spans="2:17" s="3" customFormat="1" ht="32.25" customHeight="1">
      <c r="B26" s="416" t="s">
        <v>213</v>
      </c>
      <c r="C26" s="417"/>
      <c r="D26" s="317">
        <v>40718</v>
      </c>
      <c r="E26" s="62"/>
      <c r="F26" s="62"/>
      <c r="G26" s="60"/>
      <c r="H26" s="2"/>
      <c r="I26" s="4"/>
      <c r="J26" s="2"/>
      <c r="K26" s="2"/>
      <c r="M26" s="2"/>
      <c r="N26" s="2"/>
      <c r="O26" s="2"/>
      <c r="P26" s="2" t="s">
        <v>47</v>
      </c>
      <c r="Q26" s="2" t="s">
        <v>48</v>
      </c>
    </row>
    <row r="27" spans="2:17" s="3" customFormat="1" ht="28.5" customHeight="1">
      <c r="B27" s="416" t="s">
        <v>325</v>
      </c>
      <c r="C27" s="417"/>
      <c r="D27" s="305" t="s">
        <v>519</v>
      </c>
      <c r="E27" s="62"/>
      <c r="F27" s="62"/>
      <c r="G27" s="102"/>
      <c r="H27" s="2"/>
      <c r="I27" s="4"/>
      <c r="J27" s="2"/>
      <c r="K27" s="2"/>
      <c r="L27" s="2"/>
      <c r="M27" s="2"/>
      <c r="N27" s="2"/>
      <c r="O27" s="2"/>
      <c r="P27" s="2"/>
      <c r="Q27" s="2"/>
    </row>
    <row r="28" spans="2:17" s="3" customFormat="1" ht="15.75" thickBot="1">
      <c r="B28" s="157"/>
      <c r="C28" s="100" t="s">
        <v>330</v>
      </c>
      <c r="D28" s="172" t="s">
        <v>346</v>
      </c>
      <c r="E28" s="62"/>
      <c r="F28" s="62"/>
      <c r="G28" s="60"/>
      <c r="H28" s="2"/>
      <c r="I28" s="4"/>
      <c r="J28" s="2"/>
      <c r="K28" s="2"/>
      <c r="L28" s="2"/>
      <c r="M28" s="2"/>
      <c r="N28" s="2"/>
      <c r="O28" s="2"/>
      <c r="P28" s="2"/>
      <c r="Q28" s="2"/>
    </row>
    <row r="29" spans="2:17" s="3" customFormat="1" ht="15">
      <c r="B29" s="157"/>
      <c r="C29" s="105"/>
      <c r="D29" s="103"/>
      <c r="E29" s="62"/>
      <c r="F29" s="62"/>
      <c r="G29" s="60"/>
      <c r="H29" s="2"/>
      <c r="I29" s="4"/>
      <c r="J29" s="2"/>
      <c r="K29" s="2"/>
      <c r="L29" s="2"/>
      <c r="M29" s="2"/>
      <c r="N29" s="2"/>
      <c r="O29" s="2"/>
      <c r="P29" s="2"/>
      <c r="Q29" s="2"/>
    </row>
    <row r="30" spans="2:18" s="3" customFormat="1" ht="15.75" thickBot="1">
      <c r="B30" s="157"/>
      <c r="C30" s="105"/>
      <c r="D30" s="104" t="s">
        <v>49</v>
      </c>
      <c r="E30" s="62"/>
      <c r="F30" s="62"/>
      <c r="G30" s="60"/>
      <c r="I30" s="2"/>
      <c r="J30" s="4" t="s">
        <v>50</v>
      </c>
      <c r="K30" s="2"/>
      <c r="L30" s="2"/>
      <c r="M30" s="2"/>
      <c r="N30" s="2"/>
      <c r="O30" s="2"/>
      <c r="P30" s="2"/>
      <c r="Q30" s="2"/>
      <c r="R30" s="2"/>
    </row>
    <row r="31" spans="2:18" s="3" customFormat="1" ht="193.5" customHeight="1" thickBot="1">
      <c r="B31" s="157"/>
      <c r="C31" s="105"/>
      <c r="D31" s="303" t="s">
        <v>473</v>
      </c>
      <c r="E31" s="62"/>
      <c r="F31" s="62"/>
      <c r="G31" s="60"/>
      <c r="H31" s="5"/>
      <c r="I31" s="2"/>
      <c r="J31" s="4" t="s">
        <v>51</v>
      </c>
      <c r="K31" s="2"/>
      <c r="L31" s="2"/>
      <c r="M31" s="2"/>
      <c r="N31" s="2"/>
      <c r="O31" s="2"/>
      <c r="P31" s="2"/>
      <c r="Q31" s="2"/>
      <c r="R31" s="2"/>
    </row>
    <row r="32" spans="2:18" s="3" customFormat="1" ht="72">
      <c r="B32" s="164"/>
      <c r="C32" s="151" t="s">
        <v>52</v>
      </c>
      <c r="D32" s="62"/>
      <c r="E32" s="62"/>
      <c r="F32" s="62"/>
      <c r="G32" s="60"/>
      <c r="I32" s="2"/>
      <c r="J32" s="4" t="s">
        <v>53</v>
      </c>
      <c r="K32" s="2"/>
      <c r="L32" s="2"/>
      <c r="M32" s="2"/>
      <c r="N32" s="2"/>
      <c r="O32" s="2"/>
      <c r="P32" s="2"/>
      <c r="Q32" s="2"/>
      <c r="R32" s="2"/>
    </row>
    <row r="33" spans="2:18" s="3" customFormat="1" ht="40.5" customHeight="1">
      <c r="B33" s="157"/>
      <c r="C33" s="105"/>
      <c r="D33" s="318" t="s">
        <v>534</v>
      </c>
      <c r="E33" s="62"/>
      <c r="F33" s="62"/>
      <c r="G33" s="60"/>
      <c r="I33" s="2"/>
      <c r="J33" s="4" t="s">
        <v>54</v>
      </c>
      <c r="K33" s="2"/>
      <c r="L33" s="2"/>
      <c r="M33" s="2"/>
      <c r="N33" s="2"/>
      <c r="O33" s="2"/>
      <c r="P33" s="2"/>
      <c r="Q33" s="2"/>
      <c r="R33" s="2"/>
    </row>
    <row r="34" spans="2:18" s="3" customFormat="1" ht="15">
      <c r="B34" s="157"/>
      <c r="C34" s="105"/>
      <c r="D34" s="62"/>
      <c r="E34" s="62"/>
      <c r="F34" s="62"/>
      <c r="G34" s="60"/>
      <c r="H34" s="5"/>
      <c r="I34" s="2"/>
      <c r="J34" s="4" t="s">
        <v>55</v>
      </c>
      <c r="K34" s="2"/>
      <c r="L34" s="2"/>
      <c r="M34" s="2"/>
      <c r="N34" s="2"/>
      <c r="O34" s="2"/>
      <c r="P34" s="2"/>
      <c r="Q34" s="2"/>
      <c r="R34" s="2"/>
    </row>
    <row r="35" spans="2:18" s="3" customFormat="1" ht="15">
      <c r="B35" s="157"/>
      <c r="C35" s="161" t="s">
        <v>56</v>
      </c>
      <c r="D35" s="62"/>
      <c r="E35" s="62"/>
      <c r="F35" s="62"/>
      <c r="G35" s="60"/>
      <c r="I35" s="2"/>
      <c r="J35" s="4" t="s">
        <v>57</v>
      </c>
      <c r="K35" s="2"/>
      <c r="L35" s="2"/>
      <c r="M35" s="2"/>
      <c r="N35" s="2"/>
      <c r="O35" s="2"/>
      <c r="P35" s="2"/>
      <c r="Q35" s="2"/>
      <c r="R35" s="2"/>
    </row>
    <row r="36" spans="2:18" s="3" customFormat="1" ht="31.5" customHeight="1" thickBot="1">
      <c r="B36" s="416" t="s">
        <v>58</v>
      </c>
      <c r="C36" s="418"/>
      <c r="D36" s="62"/>
      <c r="E36" s="62"/>
      <c r="F36" s="62"/>
      <c r="G36" s="60"/>
      <c r="I36" s="2"/>
      <c r="J36" s="4" t="s">
        <v>59</v>
      </c>
      <c r="K36" s="2"/>
      <c r="L36" s="2"/>
      <c r="M36" s="2"/>
      <c r="N36" s="2"/>
      <c r="O36" s="2"/>
      <c r="P36" s="2"/>
      <c r="Q36" s="2"/>
      <c r="R36" s="2"/>
    </row>
    <row r="37" spans="2:18" s="3" customFormat="1" ht="15">
      <c r="B37" s="157"/>
      <c r="C37" s="105" t="s">
        <v>60</v>
      </c>
      <c r="D37" s="19" t="s">
        <v>351</v>
      </c>
      <c r="E37" s="62"/>
      <c r="F37" s="62"/>
      <c r="G37" s="60"/>
      <c r="I37" s="2"/>
      <c r="J37" s="4" t="s">
        <v>61</v>
      </c>
      <c r="K37" s="2"/>
      <c r="L37" s="2"/>
      <c r="M37" s="2"/>
      <c r="N37" s="2"/>
      <c r="O37" s="2"/>
      <c r="P37" s="2"/>
      <c r="Q37" s="2"/>
      <c r="R37" s="2"/>
    </row>
    <row r="38" spans="2:18" s="3" customFormat="1" ht="15">
      <c r="B38" s="157"/>
      <c r="C38" s="105" t="s">
        <v>62</v>
      </c>
      <c r="D38" s="171" t="s">
        <v>418</v>
      </c>
      <c r="E38" s="62"/>
      <c r="F38" s="62"/>
      <c r="G38" s="60"/>
      <c r="I38" s="2"/>
      <c r="J38" s="4" t="s">
        <v>63</v>
      </c>
      <c r="K38" s="2"/>
      <c r="L38" s="2"/>
      <c r="M38" s="2"/>
      <c r="N38" s="2"/>
      <c r="O38" s="2"/>
      <c r="P38" s="2"/>
      <c r="Q38" s="2"/>
      <c r="R38" s="2"/>
    </row>
    <row r="39" spans="2:18" s="3" customFormat="1" ht="15.75" thickBot="1">
      <c r="B39" s="157"/>
      <c r="C39" s="105" t="s">
        <v>64</v>
      </c>
      <c r="D39" s="20">
        <v>41932</v>
      </c>
      <c r="E39" s="62"/>
      <c r="F39" s="62"/>
      <c r="G39" s="60"/>
      <c r="I39" s="2"/>
      <c r="J39" s="4" t="s">
        <v>65</v>
      </c>
      <c r="K39" s="2"/>
      <c r="L39" s="2"/>
      <c r="M39" s="2"/>
      <c r="N39" s="2"/>
      <c r="O39" s="2"/>
      <c r="P39" s="2"/>
      <c r="Q39" s="2"/>
      <c r="R39" s="2"/>
    </row>
    <row r="40" spans="2:18" s="3" customFormat="1" ht="15" customHeight="1" thickBot="1">
      <c r="B40" s="157"/>
      <c r="C40" s="100" t="s">
        <v>208</v>
      </c>
      <c r="D40" s="62"/>
      <c r="E40" s="62"/>
      <c r="F40" s="62"/>
      <c r="G40" s="60"/>
      <c r="I40" s="2"/>
      <c r="J40" s="4" t="s">
        <v>66</v>
      </c>
      <c r="K40" s="2"/>
      <c r="L40" s="2"/>
      <c r="M40" s="2"/>
      <c r="N40" s="2"/>
      <c r="O40" s="2"/>
      <c r="P40" s="2"/>
      <c r="Q40" s="2"/>
      <c r="R40" s="2"/>
    </row>
    <row r="41" spans="2:18" s="3" customFormat="1" ht="15">
      <c r="B41" s="157"/>
      <c r="C41" s="105" t="s">
        <v>60</v>
      </c>
      <c r="D41" s="19" t="s">
        <v>342</v>
      </c>
      <c r="E41" s="62"/>
      <c r="F41" s="62"/>
      <c r="G41" s="60"/>
      <c r="I41" s="2"/>
      <c r="J41" s="4" t="s">
        <v>67</v>
      </c>
      <c r="K41" s="2"/>
      <c r="L41" s="2"/>
      <c r="M41" s="2"/>
      <c r="N41" s="2"/>
      <c r="O41" s="2"/>
      <c r="P41" s="2"/>
      <c r="Q41" s="2"/>
      <c r="R41" s="2"/>
    </row>
    <row r="42" spans="2:18" s="3" customFormat="1" ht="15">
      <c r="B42" s="157"/>
      <c r="C42" s="105" t="s">
        <v>62</v>
      </c>
      <c r="D42" s="171" t="s">
        <v>343</v>
      </c>
      <c r="E42" s="62"/>
      <c r="F42" s="62"/>
      <c r="G42" s="60"/>
      <c r="I42" s="2"/>
      <c r="J42" s="4" t="s">
        <v>68</v>
      </c>
      <c r="K42" s="2"/>
      <c r="L42" s="2"/>
      <c r="M42" s="2"/>
      <c r="N42" s="2"/>
      <c r="O42" s="2"/>
      <c r="P42" s="2"/>
      <c r="Q42" s="2"/>
      <c r="R42" s="2"/>
    </row>
    <row r="43" spans="2:18" s="3" customFormat="1" ht="15.75" thickBot="1">
      <c r="B43" s="157"/>
      <c r="C43" s="105" t="s">
        <v>64</v>
      </c>
      <c r="D43" s="20">
        <v>41932</v>
      </c>
      <c r="E43" s="62"/>
      <c r="F43" s="62"/>
      <c r="G43" s="60"/>
      <c r="I43" s="2"/>
      <c r="J43" s="4" t="s">
        <v>69</v>
      </c>
      <c r="K43" s="2"/>
      <c r="L43" s="2"/>
      <c r="M43" s="2"/>
      <c r="N43" s="2"/>
      <c r="O43" s="2"/>
      <c r="P43" s="2"/>
      <c r="Q43" s="2"/>
      <c r="R43" s="2"/>
    </row>
    <row r="44" spans="2:18" s="3" customFormat="1" ht="15.75" thickBot="1">
      <c r="B44" s="157"/>
      <c r="C44" s="100" t="s">
        <v>327</v>
      </c>
      <c r="D44" s="62"/>
      <c r="E44" s="62"/>
      <c r="F44" s="62"/>
      <c r="G44" s="60"/>
      <c r="I44" s="2"/>
      <c r="J44" s="4" t="s">
        <v>70</v>
      </c>
      <c r="K44" s="2"/>
      <c r="L44" s="2"/>
      <c r="M44" s="2"/>
      <c r="N44" s="2"/>
      <c r="O44" s="2"/>
      <c r="P44" s="2"/>
      <c r="Q44" s="2"/>
      <c r="R44" s="2"/>
    </row>
    <row r="45" spans="2:18" s="3" customFormat="1" ht="15">
      <c r="B45" s="157"/>
      <c r="C45" s="105" t="s">
        <v>60</v>
      </c>
      <c r="D45" s="19" t="s">
        <v>344</v>
      </c>
      <c r="E45" s="62"/>
      <c r="F45" s="62"/>
      <c r="G45" s="60"/>
      <c r="I45" s="2"/>
      <c r="J45" s="4" t="s">
        <v>71</v>
      </c>
      <c r="K45" s="2"/>
      <c r="L45" s="2"/>
      <c r="M45" s="2"/>
      <c r="N45" s="2"/>
      <c r="O45" s="2"/>
      <c r="P45" s="2"/>
      <c r="Q45" s="2"/>
      <c r="R45" s="2"/>
    </row>
    <row r="46" spans="2:18" s="3" customFormat="1" ht="15">
      <c r="B46" s="157"/>
      <c r="C46" s="105" t="s">
        <v>62</v>
      </c>
      <c r="D46" s="171" t="s">
        <v>345</v>
      </c>
      <c r="E46" s="62"/>
      <c r="F46" s="62"/>
      <c r="G46" s="60"/>
      <c r="I46" s="2"/>
      <c r="J46" s="4" t="s">
        <v>72</v>
      </c>
      <c r="K46" s="2"/>
      <c r="L46" s="2"/>
      <c r="M46" s="2"/>
      <c r="N46" s="2"/>
      <c r="O46" s="2"/>
      <c r="P46" s="2"/>
      <c r="Q46" s="2"/>
      <c r="R46" s="2"/>
    </row>
    <row r="47" spans="1:10" ht="15.75" thickBot="1">
      <c r="A47" s="3"/>
      <c r="B47" s="157"/>
      <c r="C47" s="105" t="s">
        <v>64</v>
      </c>
      <c r="D47" s="20">
        <v>41932</v>
      </c>
      <c r="E47" s="62"/>
      <c r="F47" s="62"/>
      <c r="G47" s="60"/>
      <c r="J47" s="4" t="s">
        <v>73</v>
      </c>
    </row>
    <row r="48" spans="2:10" ht="15.75" thickBot="1">
      <c r="B48" s="157"/>
      <c r="C48" s="100" t="s">
        <v>207</v>
      </c>
      <c r="D48" s="62"/>
      <c r="E48" s="62"/>
      <c r="F48" s="62"/>
      <c r="G48" s="60"/>
      <c r="J48" s="4" t="s">
        <v>74</v>
      </c>
    </row>
    <row r="49" spans="2:10" ht="15">
      <c r="B49" s="157"/>
      <c r="C49" s="105" t="s">
        <v>60</v>
      </c>
      <c r="D49" s="19" t="s">
        <v>419</v>
      </c>
      <c r="E49" s="62"/>
      <c r="F49" s="62"/>
      <c r="G49" s="60"/>
      <c r="J49" s="4" t="s">
        <v>75</v>
      </c>
    </row>
    <row r="50" spans="2:10" ht="15">
      <c r="B50" s="157"/>
      <c r="C50" s="105" t="s">
        <v>62</v>
      </c>
      <c r="D50" s="171" t="s">
        <v>420</v>
      </c>
      <c r="E50" s="62"/>
      <c r="F50" s="62"/>
      <c r="G50" s="60"/>
      <c r="J50" s="4" t="s">
        <v>76</v>
      </c>
    </row>
    <row r="51" spans="2:10" ht="15.75" thickBot="1">
      <c r="B51" s="157"/>
      <c r="C51" s="105" t="s">
        <v>64</v>
      </c>
      <c r="D51" s="20">
        <v>41932</v>
      </c>
      <c r="E51" s="62"/>
      <c r="F51" s="62"/>
      <c r="G51" s="60"/>
      <c r="J51" s="4" t="s">
        <v>77</v>
      </c>
    </row>
    <row r="52" spans="2:10" ht="15.75" thickBot="1">
      <c r="B52" s="157"/>
      <c r="C52" s="100" t="s">
        <v>207</v>
      </c>
      <c r="D52" s="62"/>
      <c r="E52" s="62"/>
      <c r="F52" s="62"/>
      <c r="G52" s="60"/>
      <c r="J52" s="4" t="s">
        <v>78</v>
      </c>
    </row>
    <row r="53" spans="2:10" ht="15">
      <c r="B53" s="157"/>
      <c r="C53" s="105" t="s">
        <v>60</v>
      </c>
      <c r="D53" s="19"/>
      <c r="E53" s="62"/>
      <c r="F53" s="62"/>
      <c r="G53" s="60"/>
      <c r="J53" s="4" t="s">
        <v>79</v>
      </c>
    </row>
    <row r="54" spans="2:10" ht="15">
      <c r="B54" s="157"/>
      <c r="C54" s="105" t="s">
        <v>62</v>
      </c>
      <c r="D54" s="18"/>
      <c r="E54" s="62"/>
      <c r="F54" s="62"/>
      <c r="G54" s="60"/>
      <c r="J54" s="4" t="s">
        <v>80</v>
      </c>
    </row>
    <row r="55" spans="2:10" ht="15.75" thickBot="1">
      <c r="B55" s="157"/>
      <c r="C55" s="105" t="s">
        <v>64</v>
      </c>
      <c r="D55" s="20"/>
      <c r="E55" s="62"/>
      <c r="F55" s="62"/>
      <c r="G55" s="60"/>
      <c r="J55" s="4" t="s">
        <v>81</v>
      </c>
    </row>
    <row r="56" spans="2:10" ht="15.75" thickBot="1">
      <c r="B56" s="157"/>
      <c r="C56" s="100" t="s">
        <v>207</v>
      </c>
      <c r="D56" s="62"/>
      <c r="E56" s="62"/>
      <c r="F56" s="62"/>
      <c r="G56" s="60"/>
      <c r="J56" s="4" t="s">
        <v>82</v>
      </c>
    </row>
    <row r="57" spans="2:10" ht="15">
      <c r="B57" s="157"/>
      <c r="C57" s="105" t="s">
        <v>60</v>
      </c>
      <c r="D57" s="19"/>
      <c r="E57" s="62"/>
      <c r="F57" s="62"/>
      <c r="G57" s="60"/>
      <c r="J57" s="4" t="s">
        <v>83</v>
      </c>
    </row>
    <row r="58" spans="2:10" ht="15">
      <c r="B58" s="157"/>
      <c r="C58" s="105" t="s">
        <v>62</v>
      </c>
      <c r="D58" s="18"/>
      <c r="E58" s="62"/>
      <c r="F58" s="62"/>
      <c r="G58" s="60"/>
      <c r="J58" s="4" t="s">
        <v>84</v>
      </c>
    </row>
    <row r="59" spans="2:10" ht="15.75" thickBot="1">
      <c r="B59" s="157"/>
      <c r="C59" s="105" t="s">
        <v>64</v>
      </c>
      <c r="D59" s="20"/>
      <c r="E59" s="62"/>
      <c r="F59" s="62"/>
      <c r="G59" s="60"/>
      <c r="J59" s="4" t="s">
        <v>85</v>
      </c>
    </row>
    <row r="60" spans="2:10" ht="15.75" thickBot="1">
      <c r="B60" s="162"/>
      <c r="C60" s="163"/>
      <c r="D60" s="106"/>
      <c r="E60" s="106"/>
      <c r="F60" s="106"/>
      <c r="G60" s="74"/>
      <c r="J60" s="4" t="s">
        <v>86</v>
      </c>
    </row>
    <row r="61" ht="15">
      <c r="J61" s="4" t="s">
        <v>87</v>
      </c>
    </row>
    <row r="62" ht="15">
      <c r="J62" s="4" t="s">
        <v>88</v>
      </c>
    </row>
    <row r="63" ht="15">
      <c r="J63" s="4" t="s">
        <v>89</v>
      </c>
    </row>
    <row r="64" ht="15">
      <c r="J64" s="4" t="s">
        <v>90</v>
      </c>
    </row>
    <row r="65" ht="15">
      <c r="J65" s="4" t="s">
        <v>91</v>
      </c>
    </row>
    <row r="66" ht="15">
      <c r="J66" s="4" t="s">
        <v>92</v>
      </c>
    </row>
    <row r="67" ht="15">
      <c r="J67" s="4" t="s">
        <v>93</v>
      </c>
    </row>
    <row r="68" ht="15">
      <c r="J68" s="4" t="s">
        <v>94</v>
      </c>
    </row>
    <row r="69" ht="15">
      <c r="J69" s="4" t="s">
        <v>95</v>
      </c>
    </row>
    <row r="70" ht="15">
      <c r="J70" s="4" t="s">
        <v>96</v>
      </c>
    </row>
    <row r="71" ht="15">
      <c r="J71" s="4" t="s">
        <v>97</v>
      </c>
    </row>
    <row r="72" ht="15">
      <c r="J72" s="4" t="s">
        <v>98</v>
      </c>
    </row>
    <row r="73" ht="15">
      <c r="J73" s="4" t="s">
        <v>99</v>
      </c>
    </row>
    <row r="74" ht="15">
      <c r="J74" s="4" t="s">
        <v>100</v>
      </c>
    </row>
    <row r="75" ht="15">
      <c r="J75" s="4" t="s">
        <v>101</v>
      </c>
    </row>
    <row r="76" ht="15">
      <c r="J76" s="4" t="s">
        <v>102</v>
      </c>
    </row>
    <row r="77" ht="15">
      <c r="J77" s="4" t="s">
        <v>103</v>
      </c>
    </row>
    <row r="78" ht="15">
      <c r="J78" s="4" t="s">
        <v>104</v>
      </c>
    </row>
    <row r="79" ht="15">
      <c r="J79" s="4" t="s">
        <v>105</v>
      </c>
    </row>
    <row r="80" ht="15">
      <c r="J80" s="4" t="s">
        <v>106</v>
      </c>
    </row>
    <row r="81" ht="15">
      <c r="J81" s="4" t="s">
        <v>107</v>
      </c>
    </row>
    <row r="82" ht="15">
      <c r="J82" s="4" t="s">
        <v>108</v>
      </c>
    </row>
    <row r="83" ht="15">
      <c r="J83" s="4" t="s">
        <v>109</v>
      </c>
    </row>
    <row r="84" ht="15">
      <c r="J84" s="4" t="s">
        <v>110</v>
      </c>
    </row>
    <row r="85" ht="15">
      <c r="J85" s="4" t="s">
        <v>111</v>
      </c>
    </row>
    <row r="86" ht="15">
      <c r="J86" s="4" t="s">
        <v>112</v>
      </c>
    </row>
    <row r="87" ht="15">
      <c r="J87" s="4" t="s">
        <v>113</v>
      </c>
    </row>
    <row r="88" ht="15">
      <c r="J88" s="4" t="s">
        <v>114</v>
      </c>
    </row>
    <row r="89" ht="15">
      <c r="J89" s="4" t="s">
        <v>115</v>
      </c>
    </row>
    <row r="90" ht="15">
      <c r="J90" s="4" t="s">
        <v>116</v>
      </c>
    </row>
    <row r="91" ht="15">
      <c r="J91" s="4" t="s">
        <v>117</v>
      </c>
    </row>
    <row r="92" ht="15">
      <c r="J92" s="4" t="s">
        <v>118</v>
      </c>
    </row>
    <row r="93" ht="15">
      <c r="J93" s="4" t="s">
        <v>119</v>
      </c>
    </row>
    <row r="94" ht="15">
      <c r="J94" s="4" t="s">
        <v>120</v>
      </c>
    </row>
    <row r="95" ht="15">
      <c r="J95" s="4" t="s">
        <v>121</v>
      </c>
    </row>
    <row r="96" ht="15">
      <c r="J96" s="4" t="s">
        <v>122</v>
      </c>
    </row>
    <row r="97" ht="15">
      <c r="J97" s="4" t="s">
        <v>123</v>
      </c>
    </row>
    <row r="98" ht="15">
      <c r="J98" s="4" t="s">
        <v>124</v>
      </c>
    </row>
    <row r="99" ht="15">
      <c r="J99" s="4" t="s">
        <v>125</v>
      </c>
    </row>
    <row r="100" ht="15">
      <c r="J100" s="4" t="s">
        <v>126</v>
      </c>
    </row>
    <row r="101" ht="15">
      <c r="J101" s="4" t="s">
        <v>127</v>
      </c>
    </row>
    <row r="102" ht="15">
      <c r="J102" s="4" t="s">
        <v>128</v>
      </c>
    </row>
    <row r="103" ht="15">
      <c r="J103" s="4" t="s">
        <v>129</v>
      </c>
    </row>
    <row r="104" ht="15">
      <c r="J104" s="4" t="s">
        <v>130</v>
      </c>
    </row>
    <row r="105" ht="15">
      <c r="J105" s="4" t="s">
        <v>131</v>
      </c>
    </row>
    <row r="106" ht="15">
      <c r="J106" s="4" t="s">
        <v>132</v>
      </c>
    </row>
    <row r="107" ht="15">
      <c r="J107" s="4" t="s">
        <v>133</v>
      </c>
    </row>
    <row r="108" ht="15">
      <c r="J108" s="4" t="s">
        <v>134</v>
      </c>
    </row>
    <row r="109" ht="15">
      <c r="J109" s="4" t="s">
        <v>135</v>
      </c>
    </row>
    <row r="110" ht="15">
      <c r="J110" s="4" t="s">
        <v>136</v>
      </c>
    </row>
    <row r="111" ht="15">
      <c r="J111" s="4" t="s">
        <v>137</v>
      </c>
    </row>
    <row r="112" ht="15">
      <c r="J112" s="4" t="s">
        <v>138</v>
      </c>
    </row>
    <row r="113" ht="15">
      <c r="J113" s="4" t="s">
        <v>139</v>
      </c>
    </row>
    <row r="114" ht="15">
      <c r="J114" s="4" t="s">
        <v>140</v>
      </c>
    </row>
    <row r="115" ht="15">
      <c r="J115" s="4" t="s">
        <v>141</v>
      </c>
    </row>
    <row r="116" ht="15">
      <c r="J116" s="4" t="s">
        <v>142</v>
      </c>
    </row>
    <row r="117" ht="15">
      <c r="J117" s="4" t="s">
        <v>143</v>
      </c>
    </row>
    <row r="118" ht="15">
      <c r="J118" s="4" t="s">
        <v>144</v>
      </c>
    </row>
    <row r="119" ht="15">
      <c r="J119" s="4" t="s">
        <v>145</v>
      </c>
    </row>
    <row r="120" ht="15">
      <c r="J120" s="4" t="s">
        <v>146</v>
      </c>
    </row>
    <row r="121" ht="15">
      <c r="J121" s="4" t="s">
        <v>147</v>
      </c>
    </row>
    <row r="122" ht="15">
      <c r="J122" s="4" t="s">
        <v>148</v>
      </c>
    </row>
    <row r="123" ht="15">
      <c r="J123" s="4" t="s">
        <v>149</v>
      </c>
    </row>
    <row r="124" ht="15">
      <c r="J124" s="4" t="s">
        <v>150</v>
      </c>
    </row>
    <row r="125" ht="15">
      <c r="J125" s="4" t="s">
        <v>151</v>
      </c>
    </row>
    <row r="126" ht="15">
      <c r="J126" s="4" t="s">
        <v>152</v>
      </c>
    </row>
    <row r="127" ht="15">
      <c r="J127" s="4" t="s">
        <v>153</v>
      </c>
    </row>
    <row r="128" ht="15">
      <c r="J128" s="4" t="s">
        <v>154</v>
      </c>
    </row>
    <row r="129" ht="15">
      <c r="J129" s="4" t="s">
        <v>155</v>
      </c>
    </row>
    <row r="130" ht="15">
      <c r="J130" s="4" t="s">
        <v>156</v>
      </c>
    </row>
    <row r="131" ht="15">
      <c r="J131" s="4" t="s">
        <v>157</v>
      </c>
    </row>
    <row r="132" ht="15">
      <c r="J132" s="4" t="s">
        <v>158</v>
      </c>
    </row>
    <row r="133" ht="15">
      <c r="J133" s="4" t="s">
        <v>159</v>
      </c>
    </row>
    <row r="134" ht="15">
      <c r="J134" s="4" t="s">
        <v>160</v>
      </c>
    </row>
    <row r="135" ht="15">
      <c r="J135" s="4" t="s">
        <v>161</v>
      </c>
    </row>
    <row r="136" ht="15">
      <c r="J136" s="4" t="s">
        <v>162</v>
      </c>
    </row>
    <row r="137" ht="15">
      <c r="J137" s="4" t="s">
        <v>163</v>
      </c>
    </row>
    <row r="138" ht="15">
      <c r="J138" s="4" t="s">
        <v>164</v>
      </c>
    </row>
    <row r="139" ht="15">
      <c r="J139" s="4" t="s">
        <v>165</v>
      </c>
    </row>
    <row r="140" ht="15">
      <c r="J140" s="4" t="s">
        <v>166</v>
      </c>
    </row>
    <row r="141" ht="15">
      <c r="J141" s="4" t="s">
        <v>167</v>
      </c>
    </row>
    <row r="142" ht="15">
      <c r="J142" s="4" t="s">
        <v>168</v>
      </c>
    </row>
    <row r="143" ht="15">
      <c r="J143" s="4" t="s">
        <v>169</v>
      </c>
    </row>
    <row r="144" ht="15">
      <c r="J144" s="4" t="s">
        <v>170</v>
      </c>
    </row>
    <row r="145" ht="15">
      <c r="J145" s="4" t="s">
        <v>171</v>
      </c>
    </row>
    <row r="146" ht="15">
      <c r="J146" s="4" t="s">
        <v>172</v>
      </c>
    </row>
    <row r="147" ht="15">
      <c r="J147" s="4" t="s">
        <v>173</v>
      </c>
    </row>
    <row r="148" ht="15">
      <c r="J148" s="4" t="s">
        <v>174</v>
      </c>
    </row>
    <row r="149" ht="15">
      <c r="J149" s="4" t="s">
        <v>175</v>
      </c>
    </row>
    <row r="150" ht="15">
      <c r="J150" s="4" t="s">
        <v>176</v>
      </c>
    </row>
    <row r="151" ht="15">
      <c r="J151" s="4" t="s">
        <v>177</v>
      </c>
    </row>
    <row r="152" ht="15">
      <c r="J152" s="4" t="s">
        <v>178</v>
      </c>
    </row>
    <row r="153" ht="15">
      <c r="J153" s="4" t="s">
        <v>179</v>
      </c>
    </row>
    <row r="154" ht="15">
      <c r="J154" s="4" t="s">
        <v>180</v>
      </c>
    </row>
    <row r="155" ht="15">
      <c r="J155" s="4" t="s">
        <v>181</v>
      </c>
    </row>
    <row r="156" ht="15">
      <c r="J156" s="4" t="s">
        <v>182</v>
      </c>
    </row>
    <row r="157" ht="15">
      <c r="J157" s="4" t="s">
        <v>183</v>
      </c>
    </row>
    <row r="158" ht="15">
      <c r="J158" s="4" t="s">
        <v>184</v>
      </c>
    </row>
    <row r="159" ht="15">
      <c r="J159" s="4" t="s">
        <v>185</v>
      </c>
    </row>
    <row r="160" ht="15">
      <c r="J160" s="4" t="s">
        <v>186</v>
      </c>
    </row>
    <row r="161" ht="15">
      <c r="J161" s="4" t="s">
        <v>187</v>
      </c>
    </row>
    <row r="162" ht="15">
      <c r="J162" s="4" t="s">
        <v>188</v>
      </c>
    </row>
    <row r="163" ht="15">
      <c r="J163" s="4" t="s">
        <v>189</v>
      </c>
    </row>
    <row r="164" ht="15">
      <c r="J164" s="4" t="s">
        <v>190</v>
      </c>
    </row>
    <row r="165" ht="15">
      <c r="J165" s="4" t="s">
        <v>191</v>
      </c>
    </row>
    <row r="166" ht="15">
      <c r="J166" s="4" t="s">
        <v>192</v>
      </c>
    </row>
    <row r="167" ht="15">
      <c r="J167" s="4" t="s">
        <v>193</v>
      </c>
    </row>
    <row r="168" ht="15">
      <c r="J168" s="4" t="s">
        <v>194</v>
      </c>
    </row>
    <row r="169" ht="15">
      <c r="J169" s="4" t="s">
        <v>195</v>
      </c>
    </row>
    <row r="170" ht="15">
      <c r="J170" s="4" t="s">
        <v>196</v>
      </c>
    </row>
    <row r="171" ht="15">
      <c r="J171" s="4" t="s">
        <v>197</v>
      </c>
    </row>
    <row r="172" ht="15">
      <c r="J172" s="4" t="s">
        <v>198</v>
      </c>
    </row>
    <row r="173" ht="15">
      <c r="J173" s="4" t="s">
        <v>199</v>
      </c>
    </row>
    <row r="174" ht="15">
      <c r="J174" s="4" t="s">
        <v>200</v>
      </c>
    </row>
    <row r="175" ht="15">
      <c r="J175" s="4" t="s">
        <v>201</v>
      </c>
    </row>
    <row r="176" ht="15">
      <c r="J176" s="4" t="s">
        <v>202</v>
      </c>
    </row>
    <row r="177" ht="15">
      <c r="J177" s="4" t="s">
        <v>203</v>
      </c>
    </row>
  </sheetData>
  <sheetProtection/>
  <mergeCells count="8">
    <mergeCell ref="D23:D24"/>
    <mergeCell ref="B16:C16"/>
    <mergeCell ref="B27:C27"/>
    <mergeCell ref="B36:C36"/>
    <mergeCell ref="B26:C26"/>
    <mergeCell ref="B19:C19"/>
    <mergeCell ref="B23:C24"/>
    <mergeCell ref="B25:C25"/>
  </mergeCells>
  <dataValidations count="4">
    <dataValidation type="list" allowBlank="1" showInputMessage="1" showErrorMessage="1" sqref="D65534">
      <formula1>$R$15:$R$26</formula1>
    </dataValidation>
    <dataValidation type="list" allowBlank="1" showInputMessage="1" showErrorMessage="1" sqref="D65533">
      <formula1>$Q$15:$Q$26</formula1>
    </dataValidation>
    <dataValidation type="list" allowBlank="1" showInputMessage="1" showErrorMessage="1" sqref="D65525">
      <formula1>$K$15:$K$17</formula1>
    </dataValidation>
    <dataValidation type="list" allowBlank="1" showInputMessage="1" showErrorMessage="1" sqref="D65526:D65530">
      <formula1>$J$15:$J$177</formula1>
    </dataValidation>
  </dataValidations>
  <hyperlinks>
    <hyperlink ref="D38" r:id="rId1" display="lpicado2014@yahoo.com"/>
    <hyperlink ref="D42" r:id="rId2" display="dfuentes@marena.gob.ni"/>
    <hyperlink ref="D50" r:id="rId3" display="tsequeira@marena.gob.ni"/>
    <hyperlink ref="D46" r:id="rId4" display="fernanda.sanchez@undp.org"/>
  </hyperlinks>
  <printOptions/>
  <pageMargins left="0.7" right="0.7" top="0.75" bottom="0.75" header="0.3" footer="0.3"/>
  <pageSetup horizontalDpi="600" verticalDpi="600" orientation="portrait" r:id="rId6"/>
  <drawing r:id="rId5"/>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H19" sqref="H19"/>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L81"/>
  <sheetViews>
    <sheetView zoomScale="80" zoomScaleNormal="80" zoomScalePageLayoutView="0" workbookViewId="0" topLeftCell="A52">
      <selection activeCell="F54" sqref="F54"/>
    </sheetView>
  </sheetViews>
  <sheetFormatPr defaultColWidth="11.421875" defaultRowHeight="15"/>
  <cols>
    <col min="1" max="1" width="11.421875" style="22" customWidth="1"/>
    <col min="2" max="2" width="11.421875" style="21" customWidth="1"/>
    <col min="3" max="3" width="15.7109375" style="21" customWidth="1"/>
    <col min="4" max="4" width="30.7109375" style="21" customWidth="1"/>
    <col min="5" max="6" width="30.7109375" style="22" customWidth="1"/>
    <col min="7" max="7" width="33.28125" style="22" customWidth="1"/>
    <col min="8" max="8" width="16.421875" style="22" customWidth="1"/>
    <col min="9" max="11" width="11.421875" style="22" customWidth="1"/>
    <col min="12" max="12" width="13.421875" style="22" bestFit="1" customWidth="1"/>
    <col min="13" max="16384" width="11.421875" style="22" customWidth="1"/>
  </cols>
  <sheetData>
    <row r="1" ht="15.75" thickBot="1"/>
    <row r="2" spans="2:9" ht="15.75" thickBot="1">
      <c r="B2" s="83"/>
      <c r="C2" s="84"/>
      <c r="D2" s="84"/>
      <c r="E2" s="85"/>
      <c r="F2" s="85"/>
      <c r="G2" s="85"/>
      <c r="H2" s="85"/>
      <c r="I2" s="86"/>
    </row>
    <row r="3" spans="2:9" ht="21" thickBot="1">
      <c r="B3" s="87"/>
      <c r="C3" s="450" t="s">
        <v>417</v>
      </c>
      <c r="D3" s="451"/>
      <c r="E3" s="451"/>
      <c r="F3" s="451"/>
      <c r="G3" s="452"/>
      <c r="H3" s="90"/>
      <c r="I3" s="88"/>
    </row>
    <row r="4" spans="2:9" ht="15">
      <c r="B4" s="457"/>
      <c r="C4" s="458"/>
      <c r="D4" s="458"/>
      <c r="E4" s="458"/>
      <c r="F4" s="458"/>
      <c r="G4" s="458"/>
      <c r="H4" s="90"/>
      <c r="I4" s="88"/>
    </row>
    <row r="5" spans="2:9" ht="15">
      <c r="B5" s="89"/>
      <c r="C5" s="456"/>
      <c r="D5" s="456"/>
      <c r="E5" s="456"/>
      <c r="F5" s="456"/>
      <c r="G5" s="456"/>
      <c r="H5" s="90"/>
      <c r="I5" s="88"/>
    </row>
    <row r="6" spans="2:9" ht="15">
      <c r="B6" s="89"/>
      <c r="C6" s="61"/>
      <c r="D6" s="66"/>
      <c r="E6" s="62"/>
      <c r="F6" s="62"/>
      <c r="G6" s="90"/>
      <c r="H6" s="90"/>
      <c r="I6" s="88"/>
    </row>
    <row r="7" spans="2:9" ht="15" customHeight="1">
      <c r="B7" s="89"/>
      <c r="C7" s="422" t="s">
        <v>245</v>
      </c>
      <c r="D7" s="422"/>
      <c r="E7" s="63"/>
      <c r="F7" s="63"/>
      <c r="G7" s="90"/>
      <c r="H7" s="90"/>
      <c r="I7" s="88"/>
    </row>
    <row r="8" spans="2:9" ht="15.75" customHeight="1" thickBot="1">
      <c r="B8" s="89"/>
      <c r="C8" s="446" t="s">
        <v>279</v>
      </c>
      <c r="D8" s="446"/>
      <c r="E8" s="446"/>
      <c r="F8" s="446"/>
      <c r="G8" s="446"/>
      <c r="H8" s="90"/>
      <c r="I8" s="88"/>
    </row>
    <row r="9" spans="2:9" ht="49.5" customHeight="1" thickBot="1">
      <c r="B9" s="89"/>
      <c r="C9" s="422" t="s">
        <v>535</v>
      </c>
      <c r="D9" s="422"/>
      <c r="E9" s="440">
        <v>3727133</v>
      </c>
      <c r="F9" s="441"/>
      <c r="G9" s="442"/>
      <c r="H9" s="90"/>
      <c r="I9" s="88"/>
    </row>
    <row r="10" spans="2:9" ht="62.25" customHeight="1" thickBot="1">
      <c r="B10" s="89"/>
      <c r="C10" s="422" t="s">
        <v>246</v>
      </c>
      <c r="D10" s="422"/>
      <c r="E10" s="443"/>
      <c r="F10" s="444"/>
      <c r="G10" s="445"/>
      <c r="H10" s="297"/>
      <c r="I10" s="88"/>
    </row>
    <row r="11" spans="2:9" ht="15">
      <c r="B11" s="89"/>
      <c r="C11" s="66"/>
      <c r="D11" s="66"/>
      <c r="E11" s="90"/>
      <c r="F11" s="90"/>
      <c r="G11" s="90"/>
      <c r="H11" s="90"/>
      <c r="I11" s="88"/>
    </row>
    <row r="12" spans="2:9" ht="15.75" customHeight="1" thickBot="1">
      <c r="B12" s="89"/>
      <c r="C12" s="422" t="s">
        <v>219</v>
      </c>
      <c r="D12" s="422"/>
      <c r="E12" s="90"/>
      <c r="F12" s="90"/>
      <c r="G12" s="90"/>
      <c r="H12" s="90"/>
      <c r="I12" s="88"/>
    </row>
    <row r="13" spans="2:9" ht="49.5" customHeight="1" thickBot="1">
      <c r="B13" s="89"/>
      <c r="C13" s="422" t="s">
        <v>536</v>
      </c>
      <c r="D13" s="422"/>
      <c r="E13" s="167" t="s">
        <v>416</v>
      </c>
      <c r="F13" s="290" t="s">
        <v>414</v>
      </c>
      <c r="G13" s="168" t="s">
        <v>221</v>
      </c>
      <c r="H13" s="90"/>
      <c r="I13" s="88"/>
    </row>
    <row r="14" spans="2:9" ht="49.5" customHeight="1" thickBot="1">
      <c r="B14" s="89"/>
      <c r="C14" s="273"/>
      <c r="D14" s="273"/>
      <c r="E14" s="432" t="s">
        <v>362</v>
      </c>
      <c r="F14" s="289" t="s">
        <v>507</v>
      </c>
      <c r="G14" s="299">
        <v>256694.8</v>
      </c>
      <c r="H14" s="90"/>
      <c r="I14" s="88"/>
    </row>
    <row r="15" spans="2:9" ht="60.75" thickBot="1">
      <c r="B15" s="89"/>
      <c r="C15" s="273"/>
      <c r="D15" s="273"/>
      <c r="E15" s="433"/>
      <c r="F15" s="289" t="s">
        <v>508</v>
      </c>
      <c r="G15" s="299">
        <v>345736.7</v>
      </c>
      <c r="H15" s="90"/>
      <c r="I15" s="88"/>
    </row>
    <row r="16" spans="2:9" ht="90.75" thickBot="1">
      <c r="B16" s="89"/>
      <c r="C16" s="66"/>
      <c r="D16" s="66"/>
      <c r="E16" s="434"/>
      <c r="F16" s="287" t="s">
        <v>509</v>
      </c>
      <c r="G16" s="300">
        <v>34755.65</v>
      </c>
      <c r="H16" s="90"/>
      <c r="I16" s="88"/>
    </row>
    <row r="17" spans="2:9" ht="15.75" thickBot="1">
      <c r="B17" s="89"/>
      <c r="C17" s="66"/>
      <c r="D17" s="66"/>
      <c r="E17" s="436" t="s">
        <v>412</v>
      </c>
      <c r="F17" s="437"/>
      <c r="G17" s="286">
        <f>SUM(G14:G16)</f>
        <v>637187.15</v>
      </c>
      <c r="H17" s="90"/>
      <c r="I17" s="88"/>
    </row>
    <row r="18" spans="2:9" ht="90.75" thickBot="1">
      <c r="B18" s="89"/>
      <c r="C18" s="66"/>
      <c r="D18" s="66"/>
      <c r="E18" s="435" t="s">
        <v>373</v>
      </c>
      <c r="F18" s="285" t="s">
        <v>510</v>
      </c>
      <c r="G18" s="299">
        <v>242839.04</v>
      </c>
      <c r="H18" s="90"/>
      <c r="I18" s="88"/>
    </row>
    <row r="19" spans="2:9" ht="75.75" thickBot="1">
      <c r="B19" s="89"/>
      <c r="C19" s="66"/>
      <c r="D19" s="66"/>
      <c r="E19" s="433"/>
      <c r="F19" s="285" t="s">
        <v>411</v>
      </c>
      <c r="G19" s="299">
        <v>302481.11</v>
      </c>
      <c r="H19" s="90"/>
      <c r="I19" s="88"/>
    </row>
    <row r="20" spans="2:9" ht="60.75" thickBot="1">
      <c r="B20" s="89"/>
      <c r="C20" s="66"/>
      <c r="D20" s="66"/>
      <c r="E20" s="434"/>
      <c r="F20" s="285" t="s">
        <v>410</v>
      </c>
      <c r="G20" s="299">
        <v>16371.49</v>
      </c>
      <c r="H20" s="90"/>
      <c r="I20" s="88"/>
    </row>
    <row r="21" spans="2:9" ht="15.75" thickBot="1">
      <c r="B21" s="89"/>
      <c r="C21" s="66"/>
      <c r="D21" s="66"/>
      <c r="E21" s="436" t="s">
        <v>409</v>
      </c>
      <c r="F21" s="437"/>
      <c r="G21" s="286">
        <f>SUM(G18:G20)</f>
        <v>561691.64</v>
      </c>
      <c r="H21" s="90"/>
      <c r="I21" s="88"/>
    </row>
    <row r="22" spans="2:9" ht="90.75" thickBot="1">
      <c r="B22" s="89"/>
      <c r="C22" s="66"/>
      <c r="D22" s="66"/>
      <c r="E22" s="435" t="s">
        <v>408</v>
      </c>
      <c r="F22" s="285" t="s">
        <v>407</v>
      </c>
      <c r="G22" s="299">
        <v>59024.2</v>
      </c>
      <c r="H22" s="90"/>
      <c r="I22" s="88"/>
    </row>
    <row r="23" spans="2:9" ht="105.75" thickBot="1">
      <c r="B23" s="89"/>
      <c r="C23" s="66"/>
      <c r="D23" s="66"/>
      <c r="E23" s="433"/>
      <c r="F23" s="285" t="s">
        <v>511</v>
      </c>
      <c r="G23" s="299">
        <v>12367.5</v>
      </c>
      <c r="H23" s="90"/>
      <c r="I23" s="88"/>
    </row>
    <row r="24" spans="2:9" ht="75.75" thickBot="1">
      <c r="B24" s="89"/>
      <c r="C24" s="66"/>
      <c r="D24" s="66"/>
      <c r="E24" s="433"/>
      <c r="F24" s="285" t="s">
        <v>512</v>
      </c>
      <c r="G24" s="299">
        <v>0</v>
      </c>
      <c r="H24" s="90"/>
      <c r="I24" s="88"/>
    </row>
    <row r="25" spans="2:9" ht="105.75" thickBot="1">
      <c r="B25" s="89"/>
      <c r="C25" s="66"/>
      <c r="D25" s="66"/>
      <c r="E25" s="434"/>
      <c r="F25" s="285" t="s">
        <v>513</v>
      </c>
      <c r="G25" s="299">
        <v>0</v>
      </c>
      <c r="H25" s="90"/>
      <c r="I25" s="88"/>
    </row>
    <row r="26" spans="2:9" ht="15.75" thickBot="1">
      <c r="B26" s="89"/>
      <c r="C26" s="66"/>
      <c r="D26" s="66"/>
      <c r="E26" s="448" t="s">
        <v>406</v>
      </c>
      <c r="F26" s="449"/>
      <c r="G26" s="286">
        <f>SUM(G22:G25)</f>
        <v>71391.7</v>
      </c>
      <c r="H26" s="90"/>
      <c r="I26" s="88"/>
    </row>
    <row r="27" spans="2:9" ht="90.75" thickBot="1">
      <c r="B27" s="89"/>
      <c r="C27" s="66"/>
      <c r="D27" s="66"/>
      <c r="E27" s="435" t="s">
        <v>387</v>
      </c>
      <c r="F27" s="285" t="s">
        <v>514</v>
      </c>
      <c r="G27" s="296">
        <v>96137.59</v>
      </c>
      <c r="H27" s="90"/>
      <c r="I27" s="88"/>
    </row>
    <row r="28" spans="2:9" ht="60.75" thickBot="1">
      <c r="B28" s="89"/>
      <c r="C28" s="66"/>
      <c r="D28" s="66"/>
      <c r="E28" s="433"/>
      <c r="F28" s="285" t="s">
        <v>405</v>
      </c>
      <c r="G28" s="296">
        <v>3345.43</v>
      </c>
      <c r="H28" s="90"/>
      <c r="I28" s="88"/>
    </row>
    <row r="29" spans="2:9" ht="165.75" thickBot="1">
      <c r="B29" s="89"/>
      <c r="C29" s="66"/>
      <c r="D29" s="66"/>
      <c r="E29" s="434"/>
      <c r="F29" s="285" t="s">
        <v>515</v>
      </c>
      <c r="G29" s="296">
        <v>179901</v>
      </c>
      <c r="H29" s="90"/>
      <c r="I29" s="88"/>
    </row>
    <row r="30" spans="2:9" ht="15.75" thickBot="1">
      <c r="B30" s="89"/>
      <c r="C30" s="66"/>
      <c r="D30" s="66"/>
      <c r="E30" s="448" t="s">
        <v>404</v>
      </c>
      <c r="F30" s="449"/>
      <c r="G30" s="286">
        <f>SUM(G27:G29)</f>
        <v>279384.02</v>
      </c>
      <c r="H30" s="90"/>
      <c r="I30" s="88"/>
    </row>
    <row r="31" spans="2:9" ht="15">
      <c r="B31" s="89"/>
      <c r="C31" s="66"/>
      <c r="D31" s="66"/>
      <c r="E31" s="448" t="s">
        <v>392</v>
      </c>
      <c r="F31" s="449"/>
      <c r="G31" s="286">
        <f>34900-227.69</f>
        <v>34672.31</v>
      </c>
      <c r="H31" s="90"/>
      <c r="I31" s="88"/>
    </row>
    <row r="32" spans="2:9" ht="15">
      <c r="B32" s="89"/>
      <c r="C32" s="66"/>
      <c r="D32" s="66"/>
      <c r="E32" s="24"/>
      <c r="F32" s="282"/>
      <c r="G32" s="295"/>
      <c r="H32" s="90"/>
      <c r="I32" s="88"/>
    </row>
    <row r="33" spans="2:9" ht="15">
      <c r="B33" s="89"/>
      <c r="C33" s="66"/>
      <c r="D33" s="66"/>
      <c r="E33" s="24"/>
      <c r="F33" s="282"/>
      <c r="G33" s="295"/>
      <c r="H33" s="90"/>
      <c r="I33" s="88"/>
    </row>
    <row r="34" spans="2:12" ht="15.75" thickBot="1">
      <c r="B34" s="89"/>
      <c r="C34" s="66"/>
      <c r="D34" s="66"/>
      <c r="E34" s="165"/>
      <c r="F34" s="280"/>
      <c r="G34" s="294"/>
      <c r="H34" s="90"/>
      <c r="I34" s="88"/>
      <c r="L34" s="292"/>
    </row>
    <row r="35" spans="2:12" ht="15.75" thickBot="1">
      <c r="B35" s="89"/>
      <c r="C35" s="66"/>
      <c r="D35" s="66"/>
      <c r="E35" s="166" t="s">
        <v>331</v>
      </c>
      <c r="F35" s="293"/>
      <c r="G35" s="286">
        <f>+G17+G21+G26+G30+G31</f>
        <v>1584326.82</v>
      </c>
      <c r="H35" s="90"/>
      <c r="I35" s="88"/>
      <c r="L35" s="292"/>
    </row>
    <row r="36" spans="2:12" ht="15">
      <c r="B36" s="89"/>
      <c r="C36" s="66"/>
      <c r="D36" s="66"/>
      <c r="E36" s="90"/>
      <c r="F36" s="90"/>
      <c r="G36" s="90"/>
      <c r="H36" s="90"/>
      <c r="I36" s="88"/>
      <c r="L36" s="291"/>
    </row>
    <row r="37" spans="2:9" ht="15.75" customHeight="1" thickBot="1">
      <c r="B37" s="89"/>
      <c r="C37" s="422" t="s">
        <v>220</v>
      </c>
      <c r="D37" s="422"/>
      <c r="E37" s="90"/>
      <c r="F37" s="90"/>
      <c r="G37" s="90"/>
      <c r="H37" s="90"/>
      <c r="I37" s="88"/>
    </row>
    <row r="38" spans="2:9" ht="49.5" customHeight="1" thickBot="1">
      <c r="B38" s="89"/>
      <c r="C38" s="422" t="s">
        <v>288</v>
      </c>
      <c r="D38" s="422"/>
      <c r="E38" s="274" t="s">
        <v>415</v>
      </c>
      <c r="F38" s="290" t="s">
        <v>414</v>
      </c>
      <c r="G38" s="169" t="s">
        <v>349</v>
      </c>
      <c r="H38" s="127" t="s">
        <v>280</v>
      </c>
      <c r="I38" s="88"/>
    </row>
    <row r="39" spans="2:9" ht="49.5" customHeight="1" thickBot="1">
      <c r="B39" s="89"/>
      <c r="C39" s="273"/>
      <c r="D39" s="273"/>
      <c r="E39" s="432" t="s">
        <v>362</v>
      </c>
      <c r="F39" s="289" t="s">
        <v>506</v>
      </c>
      <c r="G39" s="301">
        <v>148710.7</v>
      </c>
      <c r="H39" s="288"/>
      <c r="I39" s="88"/>
    </row>
    <row r="40" spans="2:9" ht="60.75" thickBot="1">
      <c r="B40" s="89"/>
      <c r="C40" s="273"/>
      <c r="D40" s="273"/>
      <c r="E40" s="433"/>
      <c r="F40" s="289" t="s">
        <v>508</v>
      </c>
      <c r="G40" s="301">
        <v>212600.52</v>
      </c>
      <c r="H40" s="288"/>
      <c r="I40" s="88"/>
    </row>
    <row r="41" spans="2:9" ht="90.75" thickBot="1">
      <c r="B41" s="89"/>
      <c r="C41" s="66"/>
      <c r="D41" s="66"/>
      <c r="E41" s="434"/>
      <c r="F41" s="287" t="s">
        <v>413</v>
      </c>
      <c r="G41" s="301">
        <v>8363.81</v>
      </c>
      <c r="H41" s="283"/>
      <c r="I41" s="88"/>
    </row>
    <row r="42" spans="2:9" ht="15.75" thickBot="1">
      <c r="B42" s="89"/>
      <c r="C42" s="66"/>
      <c r="D42" s="66"/>
      <c r="E42" s="448" t="s">
        <v>412</v>
      </c>
      <c r="F42" s="449"/>
      <c r="G42" s="286">
        <f>SUM(G39:G41)</f>
        <v>369675.02999999997</v>
      </c>
      <c r="H42" s="304">
        <v>42156</v>
      </c>
      <c r="I42" s="88"/>
    </row>
    <row r="43" spans="2:9" ht="90.75" thickBot="1">
      <c r="B43" s="89"/>
      <c r="C43" s="66"/>
      <c r="D43" s="66"/>
      <c r="E43" s="435" t="s">
        <v>373</v>
      </c>
      <c r="F43" s="285" t="s">
        <v>510</v>
      </c>
      <c r="G43" s="301">
        <v>73552.43</v>
      </c>
      <c r="H43" s="283"/>
      <c r="I43" s="88"/>
    </row>
    <row r="44" spans="2:9" ht="75.75" thickBot="1">
      <c r="B44" s="89"/>
      <c r="C44" s="66"/>
      <c r="D44" s="66"/>
      <c r="E44" s="433"/>
      <c r="F44" s="285" t="s">
        <v>411</v>
      </c>
      <c r="G44" s="301">
        <v>75978.07</v>
      </c>
      <c r="H44" s="283"/>
      <c r="I44" s="88"/>
    </row>
    <row r="45" spans="2:9" ht="60.75" thickBot="1">
      <c r="B45" s="89"/>
      <c r="C45" s="66"/>
      <c r="D45" s="66"/>
      <c r="E45" s="434"/>
      <c r="F45" s="285" t="s">
        <v>410</v>
      </c>
      <c r="G45" s="301">
        <v>34842.86</v>
      </c>
      <c r="H45" s="283"/>
      <c r="I45" s="88"/>
    </row>
    <row r="46" spans="2:9" ht="15.75" thickBot="1">
      <c r="B46" s="89"/>
      <c r="C46" s="66"/>
      <c r="D46" s="66"/>
      <c r="E46" s="448" t="s">
        <v>409</v>
      </c>
      <c r="F46" s="449"/>
      <c r="G46" s="286">
        <f>SUM(G43:G45)</f>
        <v>184373.36</v>
      </c>
      <c r="H46" s="304">
        <v>42156</v>
      </c>
      <c r="I46" s="88"/>
    </row>
    <row r="47" spans="2:9" ht="90.75" thickBot="1">
      <c r="B47" s="89"/>
      <c r="C47" s="66"/>
      <c r="D47" s="66"/>
      <c r="E47" s="435" t="s">
        <v>408</v>
      </c>
      <c r="F47" s="285" t="s">
        <v>407</v>
      </c>
      <c r="G47" s="301">
        <v>293889.35</v>
      </c>
      <c r="H47" s="283"/>
      <c r="I47" s="88"/>
    </row>
    <row r="48" spans="2:9" ht="105.75" thickBot="1">
      <c r="B48" s="89"/>
      <c r="C48" s="66"/>
      <c r="D48" s="66"/>
      <c r="E48" s="433"/>
      <c r="F48" s="285" t="s">
        <v>511</v>
      </c>
      <c r="G48" s="301">
        <v>37859.04</v>
      </c>
      <c r="H48" s="283"/>
      <c r="I48" s="88"/>
    </row>
    <row r="49" spans="2:9" ht="75.75" thickBot="1">
      <c r="B49" s="89"/>
      <c r="C49" s="66"/>
      <c r="D49" s="66"/>
      <c r="E49" s="433"/>
      <c r="F49" s="285" t="s">
        <v>512</v>
      </c>
      <c r="G49" s="301">
        <v>0</v>
      </c>
      <c r="H49" s="283"/>
      <c r="I49" s="88"/>
    </row>
    <row r="50" spans="2:9" ht="105.75" thickBot="1">
      <c r="B50" s="89"/>
      <c r="C50" s="66"/>
      <c r="D50" s="66"/>
      <c r="E50" s="434"/>
      <c r="F50" s="285" t="s">
        <v>513</v>
      </c>
      <c r="G50" s="301">
        <v>0</v>
      </c>
      <c r="H50" s="283"/>
      <c r="I50" s="88"/>
    </row>
    <row r="51" spans="2:9" ht="15.75" thickBot="1">
      <c r="B51" s="89"/>
      <c r="C51" s="66"/>
      <c r="D51" s="66"/>
      <c r="E51" s="448" t="s">
        <v>406</v>
      </c>
      <c r="F51" s="449"/>
      <c r="G51" s="302">
        <f>SUM(G47:G50)</f>
        <v>331748.38999999996</v>
      </c>
      <c r="H51" s="304">
        <v>42156</v>
      </c>
      <c r="I51" s="88"/>
    </row>
    <row r="52" spans="2:9" ht="90.75" thickBot="1">
      <c r="B52" s="89"/>
      <c r="C52" s="66"/>
      <c r="D52" s="66"/>
      <c r="E52" s="435" t="s">
        <v>387</v>
      </c>
      <c r="F52" s="285" t="s">
        <v>514</v>
      </c>
      <c r="G52" s="301">
        <v>36615.65</v>
      </c>
      <c r="H52" s="283"/>
      <c r="I52" s="88"/>
    </row>
    <row r="53" spans="2:9" ht="60.75" thickBot="1">
      <c r="B53" s="89"/>
      <c r="C53" s="66"/>
      <c r="D53" s="66"/>
      <c r="E53" s="433"/>
      <c r="F53" s="285" t="s">
        <v>405</v>
      </c>
      <c r="G53" s="301">
        <v>131334.49</v>
      </c>
      <c r="H53" s="283"/>
      <c r="I53" s="88"/>
    </row>
    <row r="54" spans="2:9" ht="165.75" thickBot="1">
      <c r="B54" s="89"/>
      <c r="C54" s="66"/>
      <c r="D54" s="66"/>
      <c r="E54" s="434"/>
      <c r="F54" s="285" t="s">
        <v>515</v>
      </c>
      <c r="G54" s="301">
        <v>245071.99</v>
      </c>
      <c r="H54" s="283"/>
      <c r="I54" s="88"/>
    </row>
    <row r="55" spans="2:9" ht="15.75" thickBot="1">
      <c r="B55" s="89"/>
      <c r="C55" s="66"/>
      <c r="D55" s="66"/>
      <c r="E55" s="448" t="s">
        <v>404</v>
      </c>
      <c r="F55" s="449"/>
      <c r="G55" s="286">
        <f>SUM(G52:G54)</f>
        <v>413022.13</v>
      </c>
      <c r="H55" s="304">
        <v>42156</v>
      </c>
      <c r="I55" s="88"/>
    </row>
    <row r="56" spans="2:9" ht="15">
      <c r="B56" s="89"/>
      <c r="C56" s="66"/>
      <c r="D56" s="66"/>
      <c r="E56" s="24" t="s">
        <v>392</v>
      </c>
      <c r="F56" s="285"/>
      <c r="G56" s="284">
        <v>44047.72</v>
      </c>
      <c r="H56" s="283"/>
      <c r="I56" s="88"/>
    </row>
    <row r="57" spans="2:9" ht="15">
      <c r="B57" s="89"/>
      <c r="C57" s="66"/>
      <c r="D57" s="66"/>
      <c r="E57" s="24"/>
      <c r="F57" s="282"/>
      <c r="G57" s="281"/>
      <c r="H57" s="34"/>
      <c r="I57" s="88"/>
    </row>
    <row r="58" spans="2:9" ht="15">
      <c r="B58" s="89"/>
      <c r="C58" s="66"/>
      <c r="D58" s="66"/>
      <c r="E58" s="24"/>
      <c r="F58" s="282"/>
      <c r="G58" s="281"/>
      <c r="H58" s="34"/>
      <c r="I58" s="88"/>
    </row>
    <row r="59" spans="2:9" ht="15.75" thickBot="1">
      <c r="B59" s="89"/>
      <c r="C59" s="66"/>
      <c r="D59" s="66"/>
      <c r="E59" s="165"/>
      <c r="F59" s="280"/>
      <c r="G59" s="279"/>
      <c r="H59" s="278"/>
      <c r="I59" s="88"/>
    </row>
    <row r="60" spans="2:9" ht="15.75" thickBot="1">
      <c r="B60" s="89"/>
      <c r="C60" s="66"/>
      <c r="D60" s="66"/>
      <c r="E60" s="277" t="s">
        <v>331</v>
      </c>
      <c r="F60" s="277"/>
      <c r="G60" s="276">
        <f>+G56+G55+G51+G46+G42</f>
        <v>1342866.63</v>
      </c>
      <c r="H60" s="275"/>
      <c r="I60" s="88"/>
    </row>
    <row r="61" spans="2:9" ht="15">
      <c r="B61" s="89"/>
      <c r="C61" s="66"/>
      <c r="D61" s="66"/>
      <c r="E61" s="90"/>
      <c r="F61" s="90"/>
      <c r="G61" s="90"/>
      <c r="H61" s="90"/>
      <c r="I61" s="88"/>
    </row>
    <row r="62" spans="2:9" ht="15.75" customHeight="1" thickBot="1">
      <c r="B62" s="89"/>
      <c r="C62" s="422" t="s">
        <v>215</v>
      </c>
      <c r="D62" s="422"/>
      <c r="E62" s="63"/>
      <c r="F62" s="63"/>
      <c r="G62" s="90"/>
      <c r="H62" s="90"/>
      <c r="I62" s="88"/>
    </row>
    <row r="63" spans="2:9" ht="49.5" customHeight="1" thickBot="1">
      <c r="B63" s="89"/>
      <c r="C63" s="422" t="s">
        <v>216</v>
      </c>
      <c r="D63" s="422"/>
      <c r="E63" s="453"/>
      <c r="F63" s="454"/>
      <c r="G63" s="455"/>
      <c r="H63" s="90"/>
      <c r="I63" s="88"/>
    </row>
    <row r="64" spans="2:9" ht="15">
      <c r="B64" s="89"/>
      <c r="C64" s="273"/>
      <c r="D64" s="273"/>
      <c r="E64" s="63"/>
      <c r="F64" s="63"/>
      <c r="G64" s="90"/>
      <c r="H64" s="90"/>
      <c r="I64" s="88"/>
    </row>
    <row r="65" spans="2:9" ht="15.75" customHeight="1" thickBot="1">
      <c r="B65" s="89"/>
      <c r="C65" s="447" t="s">
        <v>328</v>
      </c>
      <c r="D65" s="447"/>
      <c r="E65" s="447"/>
      <c r="F65" s="447"/>
      <c r="G65" s="447"/>
      <c r="H65" s="90"/>
      <c r="I65" s="88"/>
    </row>
    <row r="66" spans="2:9" ht="49.5" customHeight="1" thickBot="1">
      <c r="B66" s="89"/>
      <c r="C66" s="422" t="s">
        <v>217</v>
      </c>
      <c r="D66" s="422"/>
      <c r="E66" s="426"/>
      <c r="F66" s="427"/>
      <c r="G66" s="428"/>
      <c r="H66" s="90"/>
      <c r="I66" s="88"/>
    </row>
    <row r="67" spans="2:9" ht="99.75" customHeight="1" thickBot="1">
      <c r="B67" s="89"/>
      <c r="C67" s="422" t="s">
        <v>218</v>
      </c>
      <c r="D67" s="422"/>
      <c r="E67" s="423"/>
      <c r="F67" s="424"/>
      <c r="G67" s="425"/>
      <c r="H67" s="90"/>
      <c r="I67" s="88"/>
    </row>
    <row r="68" spans="2:9" ht="15">
      <c r="B68" s="89"/>
      <c r="C68" s="66"/>
      <c r="D68" s="66"/>
      <c r="E68" s="90"/>
      <c r="F68" s="90"/>
      <c r="G68" s="90"/>
      <c r="H68" s="90"/>
      <c r="I68" s="88"/>
    </row>
    <row r="69" spans="2:9" ht="15.75" thickBot="1">
      <c r="B69" s="91"/>
      <c r="C69" s="430"/>
      <c r="D69" s="430"/>
      <c r="E69" s="92"/>
      <c r="F69" s="92"/>
      <c r="G69" s="73"/>
      <c r="H69" s="73"/>
      <c r="I69" s="93"/>
    </row>
    <row r="70" spans="2:8" s="26" customFormat="1" ht="64.5" customHeight="1">
      <c r="B70" s="25"/>
      <c r="C70" s="429"/>
      <c r="D70" s="429"/>
      <c r="E70" s="431"/>
      <c r="F70" s="431"/>
      <c r="G70" s="431"/>
      <c r="H70" s="15"/>
    </row>
    <row r="71" spans="2:8" ht="59.25" customHeight="1">
      <c r="B71" s="25"/>
      <c r="C71" s="27"/>
      <c r="D71" s="27"/>
      <c r="E71" s="23"/>
      <c r="F71" s="23"/>
      <c r="G71" s="23"/>
      <c r="H71" s="15"/>
    </row>
    <row r="72" spans="2:8" ht="49.5" customHeight="1">
      <c r="B72" s="25"/>
      <c r="C72" s="421"/>
      <c r="D72" s="421"/>
      <c r="E72" s="439"/>
      <c r="F72" s="439"/>
      <c r="G72" s="439"/>
      <c r="H72" s="15"/>
    </row>
    <row r="73" spans="2:8" ht="99.75" customHeight="1">
      <c r="B73" s="25"/>
      <c r="C73" s="421"/>
      <c r="D73" s="421"/>
      <c r="E73" s="438"/>
      <c r="F73" s="438"/>
      <c r="G73" s="438"/>
      <c r="H73" s="15"/>
    </row>
    <row r="74" spans="2:8" ht="15">
      <c r="B74" s="25"/>
      <c r="C74" s="25"/>
      <c r="D74" s="25"/>
      <c r="E74" s="15"/>
      <c r="F74" s="15"/>
      <c r="G74" s="15"/>
      <c r="H74" s="15"/>
    </row>
    <row r="75" spans="2:8" ht="15">
      <c r="B75" s="25"/>
      <c r="C75" s="429"/>
      <c r="D75" s="429"/>
      <c r="E75" s="15"/>
      <c r="F75" s="15"/>
      <c r="G75" s="15"/>
      <c r="H75" s="15"/>
    </row>
    <row r="76" spans="2:8" ht="49.5" customHeight="1">
      <c r="B76" s="25"/>
      <c r="C76" s="429"/>
      <c r="D76" s="429"/>
      <c r="E76" s="438"/>
      <c r="F76" s="438"/>
      <c r="G76" s="438"/>
      <c r="H76" s="15"/>
    </row>
    <row r="77" spans="2:8" ht="99.75" customHeight="1">
      <c r="B77" s="25"/>
      <c r="C77" s="421"/>
      <c r="D77" s="421"/>
      <c r="E77" s="438"/>
      <c r="F77" s="438"/>
      <c r="G77" s="438"/>
      <c r="H77" s="15"/>
    </row>
    <row r="78" spans="2:8" ht="15">
      <c r="B78" s="25"/>
      <c r="C78" s="28"/>
      <c r="D78" s="25"/>
      <c r="E78" s="29"/>
      <c r="F78" s="29"/>
      <c r="G78" s="15"/>
      <c r="H78" s="15"/>
    </row>
    <row r="79" spans="2:8" ht="15">
      <c r="B79" s="25"/>
      <c r="C79" s="28"/>
      <c r="D79" s="28"/>
      <c r="E79" s="29"/>
      <c r="F79" s="29"/>
      <c r="G79" s="29"/>
      <c r="H79" s="14"/>
    </row>
    <row r="80" spans="5:7" ht="15">
      <c r="E80" s="30"/>
      <c r="F80" s="30"/>
      <c r="G80" s="30"/>
    </row>
    <row r="81" spans="5:7" s="22" customFormat="1" ht="15">
      <c r="E81" s="30"/>
      <c r="F81" s="30"/>
      <c r="G81" s="30"/>
    </row>
  </sheetData>
  <sheetProtection/>
  <mergeCells count="50">
    <mergeCell ref="E31:F31"/>
    <mergeCell ref="E43:E45"/>
    <mergeCell ref="E46:F46"/>
    <mergeCell ref="E51:F51"/>
    <mergeCell ref="E55:F55"/>
    <mergeCell ref="E21:F21"/>
    <mergeCell ref="E22:E25"/>
    <mergeCell ref="E26:F26"/>
    <mergeCell ref="E27:E29"/>
    <mergeCell ref="E30:F30"/>
    <mergeCell ref="E39:E41"/>
    <mergeCell ref="E47:E50"/>
    <mergeCell ref="E52:E54"/>
    <mergeCell ref="E42:F42"/>
    <mergeCell ref="C3:G3"/>
    <mergeCell ref="E63:G63"/>
    <mergeCell ref="C5:G5"/>
    <mergeCell ref="B4:G4"/>
    <mergeCell ref="C13:D13"/>
    <mergeCell ref="C7:D7"/>
    <mergeCell ref="E9:G9"/>
    <mergeCell ref="E10:G10"/>
    <mergeCell ref="C8:G8"/>
    <mergeCell ref="C12:D12"/>
    <mergeCell ref="C65:G65"/>
    <mergeCell ref="C9:D9"/>
    <mergeCell ref="C10:D10"/>
    <mergeCell ref="C37:D37"/>
    <mergeCell ref="C38:D38"/>
    <mergeCell ref="C63:D63"/>
    <mergeCell ref="C62:D62"/>
    <mergeCell ref="E14:E16"/>
    <mergeCell ref="E18:E20"/>
    <mergeCell ref="E17:F17"/>
    <mergeCell ref="C77:D77"/>
    <mergeCell ref="E76:G76"/>
    <mergeCell ref="E77:G77"/>
    <mergeCell ref="E73:G73"/>
    <mergeCell ref="E72:G72"/>
    <mergeCell ref="C72:D72"/>
    <mergeCell ref="C73:D73"/>
    <mergeCell ref="C66:D66"/>
    <mergeCell ref="E67:G67"/>
    <mergeCell ref="E66:G66"/>
    <mergeCell ref="C76:D76"/>
    <mergeCell ref="C75:D75"/>
    <mergeCell ref="C69:D69"/>
    <mergeCell ref="C70:D70"/>
    <mergeCell ref="E70:G70"/>
    <mergeCell ref="C67:D67"/>
  </mergeCells>
  <dataValidations count="2">
    <dataValidation type="list" allowBlank="1" showInputMessage="1" showErrorMessage="1" sqref="E76:F76">
      <formula1>#REF!</formula1>
    </dataValidation>
    <dataValidation type="whole" allowBlank="1" showInputMessage="1" showErrorMessage="1" sqref="E72:F72 E66:F66 E9:F9">
      <formula1>-999999999</formula1>
      <formula2>999999999</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J276"/>
  <sheetViews>
    <sheetView tabSelected="1" zoomScale="80" zoomScaleNormal="80" zoomScalePageLayoutView="0" workbookViewId="0" topLeftCell="A43">
      <selection activeCell="F228" sqref="F228:F273"/>
    </sheetView>
  </sheetViews>
  <sheetFormatPr defaultColWidth="11.421875" defaultRowHeight="15"/>
  <cols>
    <col min="1" max="1" width="3.28125" style="0" customWidth="1"/>
    <col min="2" max="2" width="5.28125" style="176" customWidth="1"/>
    <col min="3" max="3" width="46.421875" style="197" customWidth="1"/>
    <col min="4" max="4" width="33.00390625" style="197" customWidth="1"/>
    <col min="5" max="5" width="42.421875" style="195" customWidth="1"/>
    <col min="6" max="6" width="39.421875" style="191" customWidth="1"/>
    <col min="7" max="7" width="15.00390625" style="176" customWidth="1"/>
    <col min="8" max="8" width="19.8515625" style="176" customWidth="1"/>
    <col min="9" max="9" width="18.8515625" style="176" customWidth="1"/>
    <col min="10" max="10" width="12.140625" style="176" customWidth="1"/>
  </cols>
  <sheetData>
    <row r="1" ht="15.75" thickBot="1"/>
    <row r="2" spans="2:10" ht="15.75" thickBot="1">
      <c r="B2" s="177"/>
      <c r="C2" s="198"/>
      <c r="D2" s="198"/>
      <c r="E2" s="178"/>
      <c r="F2" s="199"/>
      <c r="G2" s="178"/>
      <c r="H2" s="178"/>
      <c r="I2" s="178"/>
      <c r="J2" s="179"/>
    </row>
    <row r="3" spans="2:10" ht="21" thickBot="1">
      <c r="B3" s="180"/>
      <c r="C3" s="465" t="s">
        <v>222</v>
      </c>
      <c r="D3" s="466"/>
      <c r="E3" s="466"/>
      <c r="F3" s="467"/>
      <c r="G3" s="181"/>
      <c r="H3" s="181"/>
      <c r="I3" s="181"/>
      <c r="J3" s="182"/>
    </row>
    <row r="4" spans="2:10" ht="15">
      <c r="B4" s="468"/>
      <c r="C4" s="469"/>
      <c r="D4" s="469"/>
      <c r="E4" s="469"/>
      <c r="F4" s="469"/>
      <c r="G4" s="313"/>
      <c r="H4" s="313"/>
      <c r="I4" s="329"/>
      <c r="J4" s="182"/>
    </row>
    <row r="5" spans="2:10" ht="16.5" thickBot="1">
      <c r="B5" s="183"/>
      <c r="C5" s="470" t="s">
        <v>360</v>
      </c>
      <c r="D5" s="470"/>
      <c r="E5" s="470"/>
      <c r="F5" s="470"/>
      <c r="G5" s="470"/>
      <c r="H5" s="470"/>
      <c r="I5" s="330"/>
      <c r="J5" s="182"/>
    </row>
    <row r="6" spans="2:10" ht="15.75" thickBot="1">
      <c r="B6" s="183"/>
      <c r="C6" s="471" t="s">
        <v>361</v>
      </c>
      <c r="D6" s="471"/>
      <c r="E6" s="471"/>
      <c r="F6" s="471"/>
      <c r="G6" s="181"/>
      <c r="H6" s="181"/>
      <c r="I6" s="200">
        <v>18</v>
      </c>
      <c r="J6" s="182"/>
    </row>
    <row r="7" spans="2:10" ht="15">
      <c r="B7" s="183"/>
      <c r="C7" s="472" t="s">
        <v>237</v>
      </c>
      <c r="D7" s="472"/>
      <c r="E7" s="181"/>
      <c r="F7" s="181"/>
      <c r="G7" s="181"/>
      <c r="H7" s="181"/>
      <c r="I7" s="181"/>
      <c r="J7" s="182"/>
    </row>
    <row r="8" spans="2:10" ht="15.75" customHeight="1" thickBot="1">
      <c r="B8" s="183"/>
      <c r="C8" s="473" t="s">
        <v>238</v>
      </c>
      <c r="D8" s="473"/>
      <c r="E8" s="473"/>
      <c r="F8" s="473"/>
      <c r="G8" s="314"/>
      <c r="H8" s="314"/>
      <c r="I8" s="331"/>
      <c r="J8" s="182"/>
    </row>
    <row r="9" spans="2:10" ht="30.75" customHeight="1">
      <c r="B9" s="183"/>
      <c r="C9" s="311"/>
      <c r="D9" s="201" t="s">
        <v>241</v>
      </c>
      <c r="E9" s="184" t="s">
        <v>240</v>
      </c>
      <c r="F9" s="184" t="s">
        <v>239</v>
      </c>
      <c r="G9" s="184" t="s">
        <v>356</v>
      </c>
      <c r="H9" s="333" t="s">
        <v>553</v>
      </c>
      <c r="I9" s="184" t="s">
        <v>554</v>
      </c>
      <c r="J9" s="182"/>
    </row>
    <row r="10" spans="2:10" ht="27.75" customHeight="1">
      <c r="B10" s="183"/>
      <c r="C10" s="311"/>
      <c r="D10" s="474" t="s">
        <v>362</v>
      </c>
      <c r="E10" s="475"/>
      <c r="F10" s="475"/>
      <c r="G10" s="475"/>
      <c r="H10" s="475"/>
      <c r="I10" s="475"/>
      <c r="J10" s="182"/>
    </row>
    <row r="11" spans="2:10" ht="15.75">
      <c r="B11" s="183"/>
      <c r="C11" s="311"/>
      <c r="D11" s="230" t="s">
        <v>422</v>
      </c>
      <c r="E11" s="203" t="s">
        <v>363</v>
      </c>
      <c r="F11" s="204">
        <v>41505</v>
      </c>
      <c r="G11" s="205">
        <f>1239000/24.98</f>
        <v>49599.67974379504</v>
      </c>
      <c r="H11" s="264">
        <f>1239000/24.98</f>
        <v>49599.67974379504</v>
      </c>
      <c r="I11" s="205">
        <f>+G11-H11</f>
        <v>0</v>
      </c>
      <c r="J11" s="182"/>
    </row>
    <row r="12" spans="2:10" ht="15.75">
      <c r="B12" s="183"/>
      <c r="C12" s="311"/>
      <c r="D12" s="230" t="s">
        <v>422</v>
      </c>
      <c r="E12" s="203" t="s">
        <v>364</v>
      </c>
      <c r="F12" s="204">
        <v>41513</v>
      </c>
      <c r="G12" s="205">
        <f>342100/24.98</f>
        <v>13694.955964771818</v>
      </c>
      <c r="H12" s="264">
        <f>342100/24.98</f>
        <v>13694.955964771818</v>
      </c>
      <c r="I12" s="205">
        <f aca="true" t="shared" si="0" ref="I12:I22">+G12-H12</f>
        <v>0</v>
      </c>
      <c r="J12" s="182"/>
    </row>
    <row r="13" spans="2:10" ht="15.75">
      <c r="B13" s="183"/>
      <c r="C13" s="311"/>
      <c r="D13" s="230" t="s">
        <v>422</v>
      </c>
      <c r="E13" s="203" t="s">
        <v>365</v>
      </c>
      <c r="F13" s="204">
        <v>41540</v>
      </c>
      <c r="G13" s="205">
        <f>844894.12/25.07</f>
        <v>33701.40087754288</v>
      </c>
      <c r="H13" s="264">
        <f>844894.12/25.07</f>
        <v>33701.40087754288</v>
      </c>
      <c r="I13" s="205">
        <f t="shared" si="0"/>
        <v>0</v>
      </c>
      <c r="J13" s="182"/>
    </row>
    <row r="14" spans="2:10" ht="31.5">
      <c r="B14" s="183"/>
      <c r="C14" s="311"/>
      <c r="D14" s="230" t="s">
        <v>352</v>
      </c>
      <c r="E14" s="203" t="s">
        <v>366</v>
      </c>
      <c r="F14" s="204">
        <v>41554</v>
      </c>
      <c r="G14" s="205">
        <v>12000</v>
      </c>
      <c r="H14" s="264">
        <v>12000</v>
      </c>
      <c r="I14" s="205">
        <f t="shared" si="0"/>
        <v>0</v>
      </c>
      <c r="J14" s="182"/>
    </row>
    <row r="15" spans="2:10" ht="15.75">
      <c r="B15" s="183"/>
      <c r="C15" s="311"/>
      <c r="D15" s="230" t="s">
        <v>422</v>
      </c>
      <c r="E15" s="203" t="s">
        <v>367</v>
      </c>
      <c r="F15" s="204">
        <v>41600</v>
      </c>
      <c r="G15" s="205">
        <f>748800/25.32</f>
        <v>29573.45971563981</v>
      </c>
      <c r="H15" s="264">
        <f>748800/25.32</f>
        <v>29573.45971563981</v>
      </c>
      <c r="I15" s="205">
        <f t="shared" si="0"/>
        <v>0</v>
      </c>
      <c r="J15" s="182"/>
    </row>
    <row r="16" spans="2:10" ht="31.5">
      <c r="B16" s="183"/>
      <c r="C16" s="311"/>
      <c r="D16" s="202" t="s">
        <v>352</v>
      </c>
      <c r="E16" s="203" t="s">
        <v>368</v>
      </c>
      <c r="F16" s="204">
        <v>41627</v>
      </c>
      <c r="G16" s="205">
        <v>6000</v>
      </c>
      <c r="H16" s="264">
        <v>6000</v>
      </c>
      <c r="I16" s="205">
        <f t="shared" si="0"/>
        <v>0</v>
      </c>
      <c r="J16" s="182"/>
    </row>
    <row r="17" spans="2:10" ht="15.75">
      <c r="B17" s="183"/>
      <c r="C17" s="311"/>
      <c r="D17" s="230" t="s">
        <v>422</v>
      </c>
      <c r="E17" s="209" t="s">
        <v>369</v>
      </c>
      <c r="F17" s="210">
        <v>41729</v>
      </c>
      <c r="G17" s="307">
        <f>1015700/25.43</f>
        <v>39941.014549744395</v>
      </c>
      <c r="H17" s="332">
        <f>1015700/25.43</f>
        <v>39941.014549744395</v>
      </c>
      <c r="I17" s="205">
        <f t="shared" si="0"/>
        <v>0</v>
      </c>
      <c r="J17" s="182"/>
    </row>
    <row r="18" spans="2:10" ht="15.75">
      <c r="B18" s="183"/>
      <c r="C18" s="311"/>
      <c r="D18" s="230" t="s">
        <v>422</v>
      </c>
      <c r="E18" s="209" t="s">
        <v>370</v>
      </c>
      <c r="F18" s="210">
        <v>41729</v>
      </c>
      <c r="G18" s="307">
        <f>304500/25.43</f>
        <v>11974.046401887534</v>
      </c>
      <c r="H18" s="332">
        <f>304500/25.43</f>
        <v>11974.046401887534</v>
      </c>
      <c r="I18" s="205">
        <f t="shared" si="0"/>
        <v>0</v>
      </c>
      <c r="J18" s="182"/>
    </row>
    <row r="19" spans="2:10" ht="15.75">
      <c r="B19" s="183"/>
      <c r="C19" s="311"/>
      <c r="D19" s="230" t="s">
        <v>422</v>
      </c>
      <c r="E19" s="211" t="s">
        <v>423</v>
      </c>
      <c r="F19" s="212">
        <v>41723</v>
      </c>
      <c r="G19" s="307">
        <f>374400/25.43</f>
        <v>14722.768383798662</v>
      </c>
      <c r="H19" s="332">
        <f>374400/25.43</f>
        <v>14722.768383798662</v>
      </c>
      <c r="I19" s="205">
        <f t="shared" si="0"/>
        <v>0</v>
      </c>
      <c r="J19" s="182"/>
    </row>
    <row r="20" spans="2:10" ht="15.75">
      <c r="B20" s="183"/>
      <c r="C20" s="311"/>
      <c r="D20" s="230" t="s">
        <v>422</v>
      </c>
      <c r="E20" s="213" t="s">
        <v>371</v>
      </c>
      <c r="F20" s="312">
        <v>41729</v>
      </c>
      <c r="G20" s="307">
        <f>799240/25.43</f>
        <v>31429.02084152576</v>
      </c>
      <c r="H20" s="332">
        <f>799240/25.43</f>
        <v>31429.02084152576</v>
      </c>
      <c r="I20" s="205">
        <f t="shared" si="0"/>
        <v>0</v>
      </c>
      <c r="J20" s="182"/>
    </row>
    <row r="21" spans="2:10" ht="15.75">
      <c r="B21" s="183"/>
      <c r="C21" s="311"/>
      <c r="D21" s="230" t="s">
        <v>422</v>
      </c>
      <c r="E21" s="213" t="s">
        <v>364</v>
      </c>
      <c r="F21" s="312">
        <v>41758</v>
      </c>
      <c r="G21" s="307">
        <f>663100/25.753</f>
        <v>25748.45649050596</v>
      </c>
      <c r="H21" s="332">
        <f>663100/25.753</f>
        <v>25748.45649050596</v>
      </c>
      <c r="I21" s="205">
        <f t="shared" si="0"/>
        <v>0</v>
      </c>
      <c r="J21" s="182"/>
    </row>
    <row r="22" spans="2:10" ht="15.75">
      <c r="B22" s="183"/>
      <c r="C22" s="311"/>
      <c r="D22" s="230" t="s">
        <v>422</v>
      </c>
      <c r="E22" s="213" t="s">
        <v>372</v>
      </c>
      <c r="F22" s="312">
        <v>41768</v>
      </c>
      <c r="G22" s="307">
        <f>878475/25.73</f>
        <v>34142.052079284884</v>
      </c>
      <c r="H22" s="332">
        <f>878475/25.73</f>
        <v>34142.052079284884</v>
      </c>
      <c r="I22" s="205">
        <f t="shared" si="0"/>
        <v>0</v>
      </c>
      <c r="J22" s="182"/>
    </row>
    <row r="23" spans="2:10" ht="15">
      <c r="B23" s="183"/>
      <c r="C23" s="311"/>
      <c r="D23" s="459"/>
      <c r="E23" s="460"/>
      <c r="F23" s="460"/>
      <c r="G23" s="460"/>
      <c r="H23" s="460"/>
      <c r="I23" s="460"/>
      <c r="J23" s="182"/>
    </row>
    <row r="24" spans="2:10" ht="15.75" customHeight="1">
      <c r="B24" s="183"/>
      <c r="C24" s="311"/>
      <c r="D24" s="461" t="s">
        <v>373</v>
      </c>
      <c r="E24" s="462"/>
      <c r="F24" s="462"/>
      <c r="G24" s="462"/>
      <c r="H24" s="462"/>
      <c r="I24" s="462"/>
      <c r="J24" s="182"/>
    </row>
    <row r="25" spans="2:10" ht="20.25" customHeight="1">
      <c r="B25" s="183"/>
      <c r="C25" s="311"/>
      <c r="D25" s="202" t="s">
        <v>352</v>
      </c>
      <c r="E25" s="203" t="s">
        <v>374</v>
      </c>
      <c r="F25" s="204">
        <v>41470</v>
      </c>
      <c r="G25" s="205">
        <f>700*12</f>
        <v>8400</v>
      </c>
      <c r="H25" s="205">
        <f>700*12</f>
        <v>8400</v>
      </c>
      <c r="I25" s="205">
        <f aca="true" t="shared" si="1" ref="I25:I36">+G25-H25</f>
        <v>0</v>
      </c>
      <c r="J25" s="182"/>
    </row>
    <row r="26" spans="2:10" ht="20.25" customHeight="1">
      <c r="B26" s="183"/>
      <c r="C26" s="311"/>
      <c r="D26" s="202" t="s">
        <v>352</v>
      </c>
      <c r="E26" s="203" t="s">
        <v>375</v>
      </c>
      <c r="F26" s="204">
        <v>41470</v>
      </c>
      <c r="G26" s="205">
        <f aca="true" t="shared" si="2" ref="G26:H33">700*12</f>
        <v>8400</v>
      </c>
      <c r="H26" s="205">
        <f t="shared" si="2"/>
        <v>8400</v>
      </c>
      <c r="I26" s="205">
        <f t="shared" si="1"/>
        <v>0</v>
      </c>
      <c r="J26" s="182"/>
    </row>
    <row r="27" spans="2:10" ht="20.25" customHeight="1">
      <c r="B27" s="183"/>
      <c r="C27" s="311"/>
      <c r="D27" s="202" t="s">
        <v>352</v>
      </c>
      <c r="E27" s="203" t="s">
        <v>376</v>
      </c>
      <c r="F27" s="204">
        <v>41470</v>
      </c>
      <c r="G27" s="205">
        <f t="shared" si="2"/>
        <v>8400</v>
      </c>
      <c r="H27" s="205">
        <f t="shared" si="2"/>
        <v>8400</v>
      </c>
      <c r="I27" s="205">
        <f t="shared" si="1"/>
        <v>0</v>
      </c>
      <c r="J27" s="182"/>
    </row>
    <row r="28" spans="2:10" ht="20.25" customHeight="1">
      <c r="B28" s="183"/>
      <c r="C28" s="311"/>
      <c r="D28" s="202" t="s">
        <v>352</v>
      </c>
      <c r="E28" s="203" t="s">
        <v>377</v>
      </c>
      <c r="F28" s="204">
        <v>41470</v>
      </c>
      <c r="G28" s="205">
        <f t="shared" si="2"/>
        <v>8400</v>
      </c>
      <c r="H28" s="205">
        <f t="shared" si="2"/>
        <v>8400</v>
      </c>
      <c r="I28" s="205">
        <f t="shared" si="1"/>
        <v>0</v>
      </c>
      <c r="J28" s="182"/>
    </row>
    <row r="29" spans="2:10" ht="20.25" customHeight="1">
      <c r="B29" s="183"/>
      <c r="C29" s="311"/>
      <c r="D29" s="202" t="s">
        <v>352</v>
      </c>
      <c r="E29" s="216" t="s">
        <v>378</v>
      </c>
      <c r="F29" s="204">
        <v>41470</v>
      </c>
      <c r="G29" s="205">
        <f t="shared" si="2"/>
        <v>8400</v>
      </c>
      <c r="H29" s="205">
        <f t="shared" si="2"/>
        <v>8400</v>
      </c>
      <c r="I29" s="205">
        <f t="shared" si="1"/>
        <v>0</v>
      </c>
      <c r="J29" s="182"/>
    </row>
    <row r="30" spans="2:10" ht="20.25" customHeight="1">
      <c r="B30" s="183"/>
      <c r="C30" s="311"/>
      <c r="D30" s="202" t="s">
        <v>352</v>
      </c>
      <c r="E30" s="203" t="s">
        <v>379</v>
      </c>
      <c r="F30" s="204">
        <v>41470</v>
      </c>
      <c r="G30" s="205">
        <f t="shared" si="2"/>
        <v>8400</v>
      </c>
      <c r="H30" s="205">
        <f t="shared" si="2"/>
        <v>8400</v>
      </c>
      <c r="I30" s="205">
        <f t="shared" si="1"/>
        <v>0</v>
      </c>
      <c r="J30" s="182"/>
    </row>
    <row r="31" spans="2:10" ht="20.25" customHeight="1">
      <c r="B31" s="183"/>
      <c r="C31" s="311"/>
      <c r="D31" s="202" t="s">
        <v>352</v>
      </c>
      <c r="E31" s="203" t="s">
        <v>380</v>
      </c>
      <c r="F31" s="204">
        <v>41470</v>
      </c>
      <c r="G31" s="205">
        <f t="shared" si="2"/>
        <v>8400</v>
      </c>
      <c r="H31" s="205">
        <f t="shared" si="2"/>
        <v>8400</v>
      </c>
      <c r="I31" s="205">
        <f t="shared" si="1"/>
        <v>0</v>
      </c>
      <c r="J31" s="182"/>
    </row>
    <row r="32" spans="2:10" ht="20.25" customHeight="1">
      <c r="B32" s="183"/>
      <c r="C32" s="311"/>
      <c r="D32" s="202" t="s">
        <v>352</v>
      </c>
      <c r="E32" s="203" t="s">
        <v>381</v>
      </c>
      <c r="F32" s="204">
        <v>41470</v>
      </c>
      <c r="G32" s="205">
        <f t="shared" si="2"/>
        <v>8400</v>
      </c>
      <c r="H32" s="205">
        <f t="shared" si="2"/>
        <v>8400</v>
      </c>
      <c r="I32" s="205">
        <f t="shared" si="1"/>
        <v>0</v>
      </c>
      <c r="J32" s="182"/>
    </row>
    <row r="33" spans="2:10" ht="20.25" customHeight="1">
      <c r="B33" s="183"/>
      <c r="C33" s="311"/>
      <c r="D33" s="202" t="s">
        <v>352</v>
      </c>
      <c r="E33" s="203" t="s">
        <v>382</v>
      </c>
      <c r="F33" s="204">
        <v>41470</v>
      </c>
      <c r="G33" s="205">
        <f t="shared" si="2"/>
        <v>8400</v>
      </c>
      <c r="H33" s="205">
        <f t="shared" si="2"/>
        <v>8400</v>
      </c>
      <c r="I33" s="205">
        <f t="shared" si="1"/>
        <v>0</v>
      </c>
      <c r="J33" s="182"/>
    </row>
    <row r="34" spans="2:10" ht="15.75">
      <c r="B34" s="183"/>
      <c r="C34" s="311"/>
      <c r="D34" s="217" t="s">
        <v>422</v>
      </c>
      <c r="E34" s="203" t="s">
        <v>384</v>
      </c>
      <c r="F34" s="204">
        <v>41578</v>
      </c>
      <c r="G34" s="205">
        <f>72000/25.185</f>
        <v>2858.844550327576</v>
      </c>
      <c r="H34" s="205">
        <f>72000/25.185</f>
        <v>2858.844550327576</v>
      </c>
      <c r="I34" s="205">
        <f t="shared" si="1"/>
        <v>0</v>
      </c>
      <c r="J34" s="182"/>
    </row>
    <row r="35" spans="2:10" ht="15.75">
      <c r="B35" s="183"/>
      <c r="C35" s="311"/>
      <c r="D35" s="217" t="s">
        <v>422</v>
      </c>
      <c r="E35" s="203" t="s">
        <v>385</v>
      </c>
      <c r="F35" s="204">
        <v>41611</v>
      </c>
      <c r="G35" s="205">
        <f>65000/25.33</f>
        <v>2566.1271219897358</v>
      </c>
      <c r="H35" s="205">
        <f>65000/25.33</f>
        <v>2566.1271219897358</v>
      </c>
      <c r="I35" s="205">
        <f t="shared" si="1"/>
        <v>0</v>
      </c>
      <c r="J35" s="182"/>
    </row>
    <row r="36" spans="2:10" ht="31.5">
      <c r="B36" s="183"/>
      <c r="C36" s="311"/>
      <c r="D36" s="202" t="s">
        <v>352</v>
      </c>
      <c r="E36" s="203" t="s">
        <v>359</v>
      </c>
      <c r="F36" s="204">
        <v>41638</v>
      </c>
      <c r="G36" s="205">
        <v>13200</v>
      </c>
      <c r="H36" s="205">
        <v>13200</v>
      </c>
      <c r="I36" s="205">
        <f t="shared" si="1"/>
        <v>0</v>
      </c>
      <c r="J36" s="182"/>
    </row>
    <row r="37" spans="2:10" ht="15">
      <c r="B37" s="183"/>
      <c r="C37" s="311"/>
      <c r="D37" s="463"/>
      <c r="E37" s="464"/>
      <c r="F37" s="464"/>
      <c r="G37" s="464"/>
      <c r="H37" s="464"/>
      <c r="I37" s="464"/>
      <c r="J37" s="182"/>
    </row>
    <row r="38" spans="2:10" ht="15" customHeight="1">
      <c r="B38" s="183"/>
      <c r="C38" s="311"/>
      <c r="D38" s="461" t="s">
        <v>387</v>
      </c>
      <c r="E38" s="462"/>
      <c r="F38" s="462"/>
      <c r="G38" s="462"/>
      <c r="H38" s="462"/>
      <c r="I38" s="462"/>
      <c r="J38" s="182"/>
    </row>
    <row r="39" spans="2:10" ht="15.75">
      <c r="B39" s="183"/>
      <c r="C39" s="311"/>
      <c r="D39" s="230" t="s">
        <v>422</v>
      </c>
      <c r="E39" s="220" t="s">
        <v>388</v>
      </c>
      <c r="F39" s="219">
        <v>41638</v>
      </c>
      <c r="G39" s="221">
        <v>9600</v>
      </c>
      <c r="H39" s="221">
        <v>9600</v>
      </c>
      <c r="I39" s="205">
        <f>+G39-H39</f>
        <v>0</v>
      </c>
      <c r="J39" s="182"/>
    </row>
    <row r="40" spans="2:10" ht="15.75">
      <c r="B40" s="183"/>
      <c r="C40" s="311"/>
      <c r="D40" s="206" t="s">
        <v>422</v>
      </c>
      <c r="E40" s="213" t="s">
        <v>389</v>
      </c>
      <c r="F40" s="312">
        <v>41796</v>
      </c>
      <c r="G40" s="214">
        <f>399400/25.92</f>
        <v>15408.95061728395</v>
      </c>
      <c r="H40" s="214">
        <f>399400/25.92</f>
        <v>15408.95061728395</v>
      </c>
      <c r="I40" s="205">
        <f>+G40-H40</f>
        <v>0</v>
      </c>
      <c r="J40" s="182"/>
    </row>
    <row r="41" spans="2:10" ht="31.5">
      <c r="B41" s="183"/>
      <c r="C41" s="311"/>
      <c r="D41" s="202" t="s">
        <v>352</v>
      </c>
      <c r="E41" s="213" t="s">
        <v>390</v>
      </c>
      <c r="F41" s="312">
        <v>41795</v>
      </c>
      <c r="G41" s="214">
        <f>156000/26</f>
        <v>6000</v>
      </c>
      <c r="H41" s="214">
        <f>156000/26</f>
        <v>6000</v>
      </c>
      <c r="I41" s="205">
        <f>+G41-H41</f>
        <v>0</v>
      </c>
      <c r="J41" s="182"/>
    </row>
    <row r="42" spans="2:10" ht="31.5">
      <c r="B42" s="183"/>
      <c r="C42" s="311"/>
      <c r="D42" s="202" t="s">
        <v>352</v>
      </c>
      <c r="E42" s="213" t="s">
        <v>391</v>
      </c>
      <c r="F42" s="312">
        <v>41766</v>
      </c>
      <c r="G42" s="214">
        <f>1434860.05/25.73</f>
        <v>55766.03381267004</v>
      </c>
      <c r="H42" s="214">
        <f>1434860.05/25.73</f>
        <v>55766.03381267004</v>
      </c>
      <c r="I42" s="205">
        <f>+G42-H42</f>
        <v>0</v>
      </c>
      <c r="J42" s="182"/>
    </row>
    <row r="43" spans="2:10" ht="15">
      <c r="B43" s="183"/>
      <c r="C43" s="311"/>
      <c r="D43" s="329"/>
      <c r="E43" s="329"/>
      <c r="F43" s="329"/>
      <c r="G43" s="329"/>
      <c r="H43" s="313"/>
      <c r="I43" s="329"/>
      <c r="J43" s="182"/>
    </row>
    <row r="44" spans="2:10" ht="15">
      <c r="B44" s="183"/>
      <c r="C44" s="222"/>
      <c r="D44" s="329"/>
      <c r="E44" s="329"/>
      <c r="F44" s="329"/>
      <c r="G44" s="329"/>
      <c r="H44" s="181"/>
      <c r="I44" s="181"/>
      <c r="J44" s="182"/>
    </row>
    <row r="45" spans="2:10" ht="15">
      <c r="B45" s="183"/>
      <c r="C45" s="472" t="s">
        <v>242</v>
      </c>
      <c r="D45" s="472"/>
      <c r="E45" s="181"/>
      <c r="F45" s="181"/>
      <c r="G45" s="181"/>
      <c r="H45" s="181"/>
      <c r="I45" s="181"/>
      <c r="J45" s="182"/>
    </row>
    <row r="46" spans="2:10" ht="16.5" thickBot="1">
      <c r="B46" s="183"/>
      <c r="C46" s="481" t="s">
        <v>244</v>
      </c>
      <c r="D46" s="481"/>
      <c r="E46" s="481"/>
      <c r="F46" s="181"/>
      <c r="G46" s="181"/>
      <c r="H46" s="181"/>
      <c r="I46" s="181"/>
      <c r="J46" s="182"/>
    </row>
    <row r="47" spans="2:10" ht="15.75" thickBot="1">
      <c r="B47" s="185"/>
      <c r="C47" s="228" t="s">
        <v>243</v>
      </c>
      <c r="D47" s="229" t="s">
        <v>353</v>
      </c>
      <c r="E47" s="196" t="s">
        <v>356</v>
      </c>
      <c r="F47" s="186" t="s">
        <v>354</v>
      </c>
      <c r="G47" s="187" t="s">
        <v>356</v>
      </c>
      <c r="H47" s="187" t="s">
        <v>357</v>
      </c>
      <c r="I47" s="181"/>
      <c r="J47" s="182"/>
    </row>
    <row r="48" spans="2:10" ht="15">
      <c r="B48" s="185"/>
      <c r="C48" s="482" t="s">
        <v>362</v>
      </c>
      <c r="D48" s="483"/>
      <c r="E48" s="483"/>
      <c r="F48" s="483"/>
      <c r="G48" s="483"/>
      <c r="H48" s="484"/>
      <c r="I48" s="181"/>
      <c r="J48" s="182"/>
    </row>
    <row r="49" spans="2:10" ht="30" customHeight="1">
      <c r="B49" s="185"/>
      <c r="C49" s="485" t="s">
        <v>449</v>
      </c>
      <c r="D49" s="231"/>
      <c r="E49" s="223">
        <f>418286.02/25.753</f>
        <v>16242.22498349707</v>
      </c>
      <c r="F49" s="486"/>
      <c r="G49" s="477">
        <f>2365650.49/25.753</f>
        <v>91859.21989671107</v>
      </c>
      <c r="H49" s="489" t="s">
        <v>396</v>
      </c>
      <c r="I49" s="181"/>
      <c r="J49" s="182"/>
    </row>
    <row r="50" spans="2:10" ht="21.75" customHeight="1">
      <c r="B50" s="185"/>
      <c r="C50" s="485"/>
      <c r="D50" s="231"/>
      <c r="E50" s="223">
        <f>8147541.24/25.753</f>
        <v>316372.5096105308</v>
      </c>
      <c r="F50" s="486"/>
      <c r="G50" s="477"/>
      <c r="H50" s="489"/>
      <c r="I50" s="181"/>
      <c r="J50" s="182"/>
    </row>
    <row r="51" spans="2:10" ht="21.75" customHeight="1">
      <c r="B51" s="185"/>
      <c r="C51" s="485"/>
      <c r="D51" s="231"/>
      <c r="E51" s="223">
        <f>764177.25/25.753</f>
        <v>29673.32932085582</v>
      </c>
      <c r="F51" s="486"/>
      <c r="G51" s="477"/>
      <c r="H51" s="489"/>
      <c r="I51" s="181"/>
      <c r="J51" s="182"/>
    </row>
    <row r="52" spans="2:10" ht="21.75" customHeight="1">
      <c r="B52" s="185"/>
      <c r="C52" s="485"/>
      <c r="D52" s="231"/>
      <c r="E52" s="223">
        <f>4050912.5/25.753</f>
        <v>157298.6642332932</v>
      </c>
      <c r="F52" s="476"/>
      <c r="G52" s="477">
        <f>858859.29/25.753</f>
        <v>33349.87341280628</v>
      </c>
      <c r="H52" s="489"/>
      <c r="I52" s="181"/>
      <c r="J52" s="182"/>
    </row>
    <row r="53" spans="2:10" ht="21.75" customHeight="1">
      <c r="B53" s="185"/>
      <c r="C53" s="485"/>
      <c r="D53" s="231"/>
      <c r="E53" s="223">
        <f>2149101.83/25.753</f>
        <v>83450.54284937677</v>
      </c>
      <c r="F53" s="476"/>
      <c r="G53" s="477"/>
      <c r="H53" s="489"/>
      <c r="I53" s="181"/>
      <c r="J53" s="182"/>
    </row>
    <row r="54" spans="2:10" ht="21.75" customHeight="1">
      <c r="B54" s="185"/>
      <c r="C54" s="485"/>
      <c r="D54" s="231"/>
      <c r="E54" s="223">
        <f>7951144.77391304/25.753</f>
        <v>308746.35086836637</v>
      </c>
      <c r="F54" s="476"/>
      <c r="G54" s="477"/>
      <c r="H54" s="489"/>
      <c r="I54" s="181"/>
      <c r="J54" s="182"/>
    </row>
    <row r="55" spans="2:10" ht="21.75" customHeight="1">
      <c r="B55" s="185"/>
      <c r="C55" s="485"/>
      <c r="D55" s="231"/>
      <c r="E55" s="223">
        <f>5301815.92/25.753</f>
        <v>205871.77882188483</v>
      </c>
      <c r="F55" s="476"/>
      <c r="G55" s="477">
        <f>96506.12/25.753</f>
        <v>3747.373898186619</v>
      </c>
      <c r="H55" s="489"/>
      <c r="I55" s="181"/>
      <c r="J55" s="182"/>
    </row>
    <row r="56" spans="2:10" ht="21.75" customHeight="1">
      <c r="B56" s="185"/>
      <c r="C56" s="485"/>
      <c r="D56" s="231"/>
      <c r="E56" s="223">
        <f>6547656.66333333/25.753</f>
        <v>254248.30751109892</v>
      </c>
      <c r="F56" s="476"/>
      <c r="G56" s="477"/>
      <c r="H56" s="489"/>
      <c r="I56" s="181"/>
      <c r="J56" s="182"/>
    </row>
    <row r="57" spans="2:10" ht="21.75" customHeight="1">
      <c r="B57" s="185"/>
      <c r="C57" s="485"/>
      <c r="D57" s="231"/>
      <c r="E57" s="223">
        <f>2322446.13913043/25.753</f>
        <v>90181.57648159165</v>
      </c>
      <c r="F57" s="476"/>
      <c r="G57" s="477"/>
      <c r="H57" s="489"/>
      <c r="I57" s="181"/>
      <c r="J57" s="182"/>
    </row>
    <row r="58" spans="2:10" ht="21.75" customHeight="1">
      <c r="B58" s="185"/>
      <c r="C58" s="485"/>
      <c r="D58" s="231"/>
      <c r="E58" s="223">
        <f>4625476.57/25.753</f>
        <v>179609.23271075217</v>
      </c>
      <c r="F58" s="476"/>
      <c r="G58" s="477">
        <f>28231.65/25.753</f>
        <v>1096.2470391799013</v>
      </c>
      <c r="H58" s="489"/>
      <c r="I58" s="181"/>
      <c r="J58" s="182"/>
    </row>
    <row r="59" spans="2:10" ht="21.75" customHeight="1">
      <c r="B59" s="185"/>
      <c r="C59" s="485"/>
      <c r="D59" s="231"/>
      <c r="E59" s="223">
        <f>8153452.4/25.753</f>
        <v>316602.0424804877</v>
      </c>
      <c r="F59" s="476"/>
      <c r="G59" s="477"/>
      <c r="H59" s="489"/>
      <c r="I59" s="181"/>
      <c r="J59" s="182"/>
    </row>
    <row r="60" spans="2:10" ht="21.75" customHeight="1">
      <c r="B60" s="185"/>
      <c r="C60" s="485"/>
      <c r="D60" s="231"/>
      <c r="E60" s="223">
        <f>8126478.94/25.753</f>
        <v>315554.651496913</v>
      </c>
      <c r="F60" s="476"/>
      <c r="G60" s="477"/>
      <c r="H60" s="489"/>
      <c r="I60" s="181"/>
      <c r="J60" s="182"/>
    </row>
    <row r="61" spans="2:10" ht="21.75" customHeight="1">
      <c r="B61" s="185"/>
      <c r="C61" s="485"/>
      <c r="D61" s="231"/>
      <c r="E61" s="223">
        <f>3674500.5/25.753</f>
        <v>142682.42534850308</v>
      </c>
      <c r="F61" s="476"/>
      <c r="G61" s="477">
        <f>9224.9/25.753</f>
        <v>358.20681085698754</v>
      </c>
      <c r="H61" s="489"/>
      <c r="I61" s="181"/>
      <c r="J61" s="182"/>
    </row>
    <row r="62" spans="2:10" ht="21.75" customHeight="1">
      <c r="B62" s="185"/>
      <c r="C62" s="485"/>
      <c r="D62" s="231"/>
      <c r="E62" s="223">
        <f>2050713/25.753</f>
        <v>79630.06251698831</v>
      </c>
      <c r="F62" s="476"/>
      <c r="G62" s="477"/>
      <c r="H62" s="489"/>
      <c r="I62" s="181"/>
      <c r="J62" s="182"/>
    </row>
    <row r="63" spans="2:10" ht="21.75" customHeight="1">
      <c r="B63" s="185"/>
      <c r="C63" s="485"/>
      <c r="D63" s="231"/>
      <c r="E63" s="223">
        <f>1874481/25.753</f>
        <v>72786.89861375374</v>
      </c>
      <c r="F63" s="476"/>
      <c r="G63" s="477"/>
      <c r="H63" s="489"/>
      <c r="I63" s="181"/>
      <c r="J63" s="182"/>
    </row>
    <row r="64" spans="2:10" ht="21.75" customHeight="1">
      <c r="B64" s="185"/>
      <c r="C64" s="485"/>
      <c r="D64" s="231"/>
      <c r="E64" s="223">
        <f>797702/25.753</f>
        <v>30975.10969595775</v>
      </c>
      <c r="F64" s="476"/>
      <c r="G64" s="477">
        <f>150146/25.753</f>
        <v>5830.233370869413</v>
      </c>
      <c r="H64" s="489"/>
      <c r="I64" s="181"/>
      <c r="J64" s="182"/>
    </row>
    <row r="65" spans="2:10" ht="21.75" customHeight="1">
      <c r="B65" s="185"/>
      <c r="C65" s="485"/>
      <c r="D65" s="231"/>
      <c r="E65" s="223">
        <f>783844/25.753</f>
        <v>30436.997631343922</v>
      </c>
      <c r="F65" s="476"/>
      <c r="G65" s="477"/>
      <c r="H65" s="489"/>
      <c r="I65" s="181"/>
      <c r="J65" s="182"/>
    </row>
    <row r="66" spans="2:10" ht="21.75" customHeight="1">
      <c r="B66" s="185"/>
      <c r="C66" s="485"/>
      <c r="D66" s="231"/>
      <c r="E66" s="223">
        <f>842860/25.753</f>
        <v>32728.614142041704</v>
      </c>
      <c r="F66" s="476"/>
      <c r="G66" s="477"/>
      <c r="H66" s="489"/>
      <c r="I66" s="181"/>
      <c r="J66" s="182"/>
    </row>
    <row r="67" spans="2:10" ht="33.75" customHeight="1">
      <c r="B67" s="185"/>
      <c r="C67" s="486" t="s">
        <v>450</v>
      </c>
      <c r="D67" s="234"/>
      <c r="E67" s="223">
        <f>162300/25.73</f>
        <v>6307.811892732219</v>
      </c>
      <c r="F67" s="487"/>
      <c r="G67" s="509">
        <f>726187.5/25.73</f>
        <v>28223.3773804897</v>
      </c>
      <c r="H67" s="489" t="s">
        <v>396</v>
      </c>
      <c r="I67" s="181"/>
      <c r="J67" s="182"/>
    </row>
    <row r="68" spans="2:10" ht="33.75" customHeight="1">
      <c r="B68" s="185"/>
      <c r="C68" s="486"/>
      <c r="D68" s="234"/>
      <c r="E68" s="223">
        <f>273089/25.73</f>
        <v>10613.641663427905</v>
      </c>
      <c r="F68" s="487"/>
      <c r="G68" s="509"/>
      <c r="H68" s="489"/>
      <c r="I68" s="181"/>
      <c r="J68" s="182"/>
    </row>
    <row r="69" spans="2:10" ht="33.75" customHeight="1">
      <c r="B69" s="185"/>
      <c r="C69" s="486"/>
      <c r="D69" s="234"/>
      <c r="E69" s="223">
        <f>268035/25.73</f>
        <v>10417.21725612126</v>
      </c>
      <c r="F69" s="487"/>
      <c r="G69" s="509"/>
      <c r="H69" s="489"/>
      <c r="I69" s="181"/>
      <c r="J69" s="182"/>
    </row>
    <row r="70" spans="2:10" ht="33.75" customHeight="1">
      <c r="B70" s="185"/>
      <c r="C70" s="486"/>
      <c r="D70" s="234"/>
      <c r="E70" s="223">
        <f>97812/25.73</f>
        <v>3801.476875242907</v>
      </c>
      <c r="F70" s="487"/>
      <c r="G70" s="508">
        <f>225700/25.73</f>
        <v>8771.861640108822</v>
      </c>
      <c r="H70" s="489"/>
      <c r="I70" s="181"/>
      <c r="J70" s="182"/>
    </row>
    <row r="71" spans="2:10" ht="33.75" customHeight="1">
      <c r="B71" s="185"/>
      <c r="C71" s="486"/>
      <c r="D71" s="234"/>
      <c r="E71" s="223">
        <f>231800/25.73</f>
        <v>9008.938981733385</v>
      </c>
      <c r="F71" s="487"/>
      <c r="G71" s="508"/>
      <c r="H71" s="489"/>
      <c r="I71" s="181"/>
      <c r="J71" s="182"/>
    </row>
    <row r="72" spans="2:10" ht="33.75" customHeight="1">
      <c r="B72" s="185"/>
      <c r="C72" s="486"/>
      <c r="D72" s="234"/>
      <c r="E72" s="223">
        <f>102400/25.73</f>
        <v>3979.790128254955</v>
      </c>
      <c r="F72" s="487"/>
      <c r="G72" s="508"/>
      <c r="H72" s="489"/>
      <c r="I72" s="181"/>
      <c r="J72" s="182"/>
    </row>
    <row r="73" spans="2:10" ht="33.75" customHeight="1">
      <c r="B73" s="185"/>
      <c r="C73" s="486"/>
      <c r="D73" s="234"/>
      <c r="E73" s="223">
        <f>213500/25.73</f>
        <v>8297.706956859696</v>
      </c>
      <c r="F73" s="487"/>
      <c r="G73" s="508">
        <f>95589/25.73</f>
        <v>3715.079673532841</v>
      </c>
      <c r="H73" s="489"/>
      <c r="I73" s="181"/>
      <c r="J73" s="182"/>
    </row>
    <row r="74" spans="2:10" ht="33.75" customHeight="1">
      <c r="B74" s="185"/>
      <c r="C74" s="486"/>
      <c r="D74" s="234"/>
      <c r="E74" s="223">
        <f>225700/25.73</f>
        <v>8771.861640108822</v>
      </c>
      <c r="F74" s="487"/>
      <c r="G74" s="508"/>
      <c r="H74" s="489"/>
      <c r="I74" s="181"/>
      <c r="J74" s="182"/>
    </row>
    <row r="75" spans="2:10" ht="33.75" customHeight="1">
      <c r="B75" s="185"/>
      <c r="C75" s="486"/>
      <c r="D75" s="234"/>
      <c r="E75" s="223">
        <f>115200/25.73</f>
        <v>4477.263894286824</v>
      </c>
      <c r="F75" s="487"/>
      <c r="G75" s="508"/>
      <c r="H75" s="489"/>
      <c r="I75" s="181"/>
      <c r="J75" s="182"/>
    </row>
    <row r="76" spans="2:10" ht="33.75" customHeight="1">
      <c r="B76" s="185"/>
      <c r="C76" s="486"/>
      <c r="D76" s="234"/>
      <c r="E76" s="223">
        <f>1013497.5/25.73</f>
        <v>39389.72017100661</v>
      </c>
      <c r="F76" s="487"/>
      <c r="G76" s="508">
        <f>162300/25.73</f>
        <v>6307.811892732219</v>
      </c>
      <c r="H76" s="489"/>
      <c r="I76" s="181"/>
      <c r="J76" s="182"/>
    </row>
    <row r="77" spans="2:10" ht="33.75" customHeight="1">
      <c r="B77" s="185"/>
      <c r="C77" s="486"/>
      <c r="D77" s="234"/>
      <c r="E77" s="223">
        <f>1120650/25.73</f>
        <v>43554.21686746988</v>
      </c>
      <c r="F77" s="487"/>
      <c r="G77" s="508"/>
      <c r="H77" s="489"/>
      <c r="I77" s="181"/>
      <c r="J77" s="182"/>
    </row>
    <row r="78" spans="2:10" ht="33.75" customHeight="1">
      <c r="B78" s="185"/>
      <c r="C78" s="486"/>
      <c r="D78" s="234"/>
      <c r="E78" s="223">
        <f>1095737.5/25.73</f>
        <v>42585.98911776137</v>
      </c>
      <c r="F78" s="487"/>
      <c r="G78" s="508"/>
      <c r="H78" s="489"/>
      <c r="I78" s="181"/>
      <c r="J78" s="182"/>
    </row>
    <row r="79" spans="2:10" ht="33.75" customHeight="1">
      <c r="B79" s="185"/>
      <c r="C79" s="486"/>
      <c r="D79" s="234"/>
      <c r="E79" s="223">
        <f>4217321.4/25.73</f>
        <v>163906.77808006218</v>
      </c>
      <c r="F79" s="487"/>
      <c r="G79" s="508">
        <f>102400/25.73</f>
        <v>3979.790128254955</v>
      </c>
      <c r="H79" s="489"/>
      <c r="I79" s="181"/>
      <c r="J79" s="182"/>
    </row>
    <row r="80" spans="2:10" ht="33.75" customHeight="1">
      <c r="B80" s="185"/>
      <c r="C80" s="486"/>
      <c r="D80" s="234"/>
      <c r="E80" s="223">
        <f>2273240/25.73</f>
        <v>88349.78624174115</v>
      </c>
      <c r="F80" s="487"/>
      <c r="G80" s="508"/>
      <c r="H80" s="489"/>
      <c r="I80" s="181"/>
      <c r="J80" s="182"/>
    </row>
    <row r="81" spans="2:10" ht="33.75" customHeight="1">
      <c r="B81" s="185"/>
      <c r="C81" s="486"/>
      <c r="D81" s="234"/>
      <c r="E81" s="223">
        <f>3482388/25.73</f>
        <v>135343.49008938982</v>
      </c>
      <c r="F81" s="487"/>
      <c r="G81" s="508"/>
      <c r="H81" s="489"/>
      <c r="I81" s="181"/>
      <c r="J81" s="182"/>
    </row>
    <row r="82" spans="2:10" ht="20.25" customHeight="1">
      <c r="B82" s="185"/>
      <c r="C82" s="486" t="s">
        <v>451</v>
      </c>
      <c r="D82" s="213"/>
      <c r="E82" s="224">
        <f>1703219.48/25.73</f>
        <v>66195.8600855033</v>
      </c>
      <c r="F82" s="487"/>
      <c r="G82" s="477">
        <f>1703219.48/25.73</f>
        <v>66195.8600855033</v>
      </c>
      <c r="H82" s="489" t="s">
        <v>394</v>
      </c>
      <c r="I82" s="181"/>
      <c r="J82" s="182"/>
    </row>
    <row r="83" spans="2:10" ht="20.25" customHeight="1">
      <c r="B83" s="185"/>
      <c r="C83" s="486"/>
      <c r="D83" s="213"/>
      <c r="E83" s="224">
        <f>1277414.6/25.73</f>
        <v>49646.8946754761</v>
      </c>
      <c r="F83" s="487"/>
      <c r="G83" s="477"/>
      <c r="H83" s="489"/>
      <c r="I83" s="181"/>
      <c r="J83" s="182"/>
    </row>
    <row r="84" spans="2:10" ht="15">
      <c r="B84" s="185"/>
      <c r="C84" s="236"/>
      <c r="D84" s="237"/>
      <c r="E84" s="238"/>
      <c r="F84" s="237"/>
      <c r="G84" s="238"/>
      <c r="H84" s="239"/>
      <c r="I84" s="181"/>
      <c r="J84" s="182"/>
    </row>
    <row r="85" spans="2:10" ht="15">
      <c r="B85" s="185"/>
      <c r="C85" s="482" t="s">
        <v>373</v>
      </c>
      <c r="D85" s="483"/>
      <c r="E85" s="483"/>
      <c r="F85" s="483"/>
      <c r="G85" s="483"/>
      <c r="H85" s="484"/>
      <c r="I85" s="181"/>
      <c r="J85" s="182"/>
    </row>
    <row r="86" spans="2:10" ht="15.75">
      <c r="B86" s="185"/>
      <c r="C86" s="510" t="s">
        <v>383</v>
      </c>
      <c r="D86" s="203"/>
      <c r="E86" s="241">
        <f>82500/24.53</f>
        <v>3363.228699551569</v>
      </c>
      <c r="F86" s="512"/>
      <c r="G86" s="514">
        <f>82500/24.53</f>
        <v>3363.228699551569</v>
      </c>
      <c r="H86" s="478" t="s">
        <v>397</v>
      </c>
      <c r="I86" s="181"/>
      <c r="J86" s="182"/>
    </row>
    <row r="87" spans="2:10" ht="15.75">
      <c r="B87" s="185"/>
      <c r="C87" s="511"/>
      <c r="D87" s="203"/>
      <c r="E87" s="241">
        <f>70213/24.723</f>
        <v>2839.9870565869837</v>
      </c>
      <c r="F87" s="513"/>
      <c r="G87" s="515"/>
      <c r="H87" s="480"/>
      <c r="I87" s="181"/>
      <c r="J87" s="182"/>
    </row>
    <row r="88" spans="2:10" ht="15.75">
      <c r="B88" s="185"/>
      <c r="C88" s="511"/>
      <c r="D88" s="203"/>
      <c r="E88" s="241">
        <f>225104.4/24.53</f>
        <v>9176.697920913168</v>
      </c>
      <c r="F88" s="512"/>
      <c r="G88" s="514">
        <f>225104.4/24.53</f>
        <v>9176.697920913168</v>
      </c>
      <c r="H88" s="478" t="s">
        <v>398</v>
      </c>
      <c r="I88" s="181"/>
      <c r="J88" s="182"/>
    </row>
    <row r="89" spans="2:10" ht="15.75">
      <c r="B89" s="185"/>
      <c r="C89" s="511"/>
      <c r="D89" s="203"/>
      <c r="E89" s="241">
        <f>184125/24.723</f>
        <v>7447.518505035797</v>
      </c>
      <c r="F89" s="513"/>
      <c r="G89" s="515"/>
      <c r="H89" s="480"/>
      <c r="I89" s="181"/>
      <c r="J89" s="182"/>
    </row>
    <row r="90" spans="2:10" ht="15.75">
      <c r="B90" s="185"/>
      <c r="C90" s="511"/>
      <c r="D90" s="203"/>
      <c r="E90" s="241">
        <f>13000/24.53</f>
        <v>529.9633102323685</v>
      </c>
      <c r="F90" s="309"/>
      <c r="G90" s="244">
        <f>13000/24.53</f>
        <v>529.9633102323685</v>
      </c>
      <c r="H90" s="478" t="s">
        <v>399</v>
      </c>
      <c r="I90" s="181"/>
      <c r="J90" s="182"/>
    </row>
    <row r="91" spans="2:10" ht="15.75">
      <c r="B91" s="185"/>
      <c r="C91" s="511"/>
      <c r="D91" s="203"/>
      <c r="E91" s="241">
        <f>45000/24.53</f>
        <v>1834.4883815735832</v>
      </c>
      <c r="F91" s="309"/>
      <c r="G91" s="244">
        <f>45000/24.53</f>
        <v>1834.4883815735832</v>
      </c>
      <c r="H91" s="479"/>
      <c r="I91" s="181"/>
      <c r="J91" s="182"/>
    </row>
    <row r="92" spans="2:10" ht="15.75">
      <c r="B92" s="185"/>
      <c r="C92" s="511"/>
      <c r="D92" s="203"/>
      <c r="E92" s="241">
        <f>56000/24.53</f>
        <v>2282.918874847126</v>
      </c>
      <c r="F92" s="309"/>
      <c r="G92" s="244">
        <f>56000/24.53</f>
        <v>2282.918874847126</v>
      </c>
      <c r="H92" s="479"/>
      <c r="I92" s="181"/>
      <c r="J92" s="182"/>
    </row>
    <row r="93" spans="2:10" ht="15.75">
      <c r="B93" s="185"/>
      <c r="C93" s="511"/>
      <c r="D93" s="203"/>
      <c r="E93" s="241">
        <f>484000/24.723</f>
        <v>19576.912187032318</v>
      </c>
      <c r="F93" s="504"/>
      <c r="G93" s="516">
        <f>305647.5/24.53</f>
        <v>12460.150835711373</v>
      </c>
      <c r="H93" s="479"/>
      <c r="I93" s="181"/>
      <c r="J93" s="182"/>
    </row>
    <row r="94" spans="2:10" ht="15.75">
      <c r="B94" s="185"/>
      <c r="C94" s="511"/>
      <c r="D94" s="203"/>
      <c r="E94" s="241">
        <f>305647.5/24.53</f>
        <v>12460.150835711373</v>
      </c>
      <c r="F94" s="504"/>
      <c r="G94" s="516"/>
      <c r="H94" s="479"/>
      <c r="I94" s="181"/>
      <c r="J94" s="182"/>
    </row>
    <row r="95" spans="2:10" ht="15.75">
      <c r="B95" s="185"/>
      <c r="C95" s="511"/>
      <c r="D95" s="203"/>
      <c r="E95" s="241">
        <f>184125/24.53</f>
        <v>7506.114961271912</v>
      </c>
      <c r="F95" s="309"/>
      <c r="G95" s="244">
        <f>184125/24.53</f>
        <v>7506.114961271912</v>
      </c>
      <c r="H95" s="479"/>
      <c r="I95" s="181"/>
      <c r="J95" s="182"/>
    </row>
    <row r="96" spans="2:10" ht="15.75">
      <c r="B96" s="185"/>
      <c r="C96" s="511"/>
      <c r="D96" s="203"/>
      <c r="E96" s="241">
        <f>122750/24.723</f>
        <v>4965.012336690531</v>
      </c>
      <c r="F96" s="504"/>
      <c r="G96" s="516">
        <f>88200/24.53</f>
        <v>3595.5972278842232</v>
      </c>
      <c r="H96" s="479"/>
      <c r="I96" s="181"/>
      <c r="J96" s="182"/>
    </row>
    <row r="97" spans="2:10" ht="15.75">
      <c r="B97" s="185"/>
      <c r="C97" s="511"/>
      <c r="D97" s="203"/>
      <c r="E97" s="241">
        <f>88200/24.53</f>
        <v>3595.5972278842232</v>
      </c>
      <c r="F97" s="504"/>
      <c r="G97" s="516"/>
      <c r="H97" s="479"/>
      <c r="I97" s="181"/>
      <c r="J97" s="182"/>
    </row>
    <row r="98" spans="2:10" ht="15.75">
      <c r="B98" s="185"/>
      <c r="C98" s="511"/>
      <c r="D98" s="203"/>
      <c r="E98" s="241">
        <f>20867.5/24.53</f>
        <v>850.69302894415</v>
      </c>
      <c r="F98" s="309"/>
      <c r="G98" s="244">
        <f>20867.5/24.53</f>
        <v>850.69302894415</v>
      </c>
      <c r="H98" s="480"/>
      <c r="I98" s="181"/>
      <c r="J98" s="182"/>
    </row>
    <row r="99" spans="2:10" ht="15.75">
      <c r="B99" s="185"/>
      <c r="C99" s="512" t="s">
        <v>400</v>
      </c>
      <c r="D99" s="203"/>
      <c r="E99" s="241">
        <v>64729.00536033353</v>
      </c>
      <c r="F99" s="512"/>
      <c r="G99" s="505">
        <v>64729.00536033353</v>
      </c>
      <c r="H99" s="478" t="s">
        <v>394</v>
      </c>
      <c r="I99" s="181"/>
      <c r="J99" s="182"/>
    </row>
    <row r="100" spans="2:10" ht="15.75">
      <c r="B100" s="185"/>
      <c r="C100" s="517"/>
      <c r="D100" s="203"/>
      <c r="E100" s="241">
        <f>2032162/25.185</f>
        <v>80689.37859837204</v>
      </c>
      <c r="F100" s="517"/>
      <c r="G100" s="506"/>
      <c r="H100" s="479"/>
      <c r="I100" s="181"/>
      <c r="J100" s="182"/>
    </row>
    <row r="101" spans="2:10" ht="15.75">
      <c r="B101" s="185"/>
      <c r="C101" s="517"/>
      <c r="D101" s="203"/>
      <c r="E101" s="241">
        <f>1717663.64/25.185</f>
        <v>68201.85189596983</v>
      </c>
      <c r="F101" s="517"/>
      <c r="G101" s="506"/>
      <c r="H101" s="479"/>
      <c r="I101" s="181"/>
      <c r="J101" s="182"/>
    </row>
    <row r="102" spans="2:10" ht="15.75">
      <c r="B102" s="185"/>
      <c r="C102" s="517"/>
      <c r="D102" s="203"/>
      <c r="E102" s="241">
        <f>1675890/25.185</f>
        <v>66543.18046456225</v>
      </c>
      <c r="F102" s="517"/>
      <c r="G102" s="506"/>
      <c r="H102" s="479"/>
      <c r="I102" s="181"/>
      <c r="J102" s="182"/>
    </row>
    <row r="103" spans="2:10" ht="15.75">
      <c r="B103" s="185"/>
      <c r="C103" s="517"/>
      <c r="D103" s="203"/>
      <c r="E103" s="241">
        <f>2202010.28/25.185</f>
        <v>87433.4040103236</v>
      </c>
      <c r="F103" s="517"/>
      <c r="G103" s="506"/>
      <c r="H103" s="479"/>
      <c r="I103" s="181"/>
      <c r="J103" s="182"/>
    </row>
    <row r="104" spans="2:10" ht="15.75">
      <c r="B104" s="185"/>
      <c r="C104" s="517"/>
      <c r="D104" s="203"/>
      <c r="E104" s="241">
        <f>1828360/25.185</f>
        <v>72597.18086162399</v>
      </c>
      <c r="F104" s="517"/>
      <c r="G104" s="506"/>
      <c r="H104" s="479"/>
      <c r="I104" s="181"/>
      <c r="J104" s="182"/>
    </row>
    <row r="105" spans="2:10" ht="15.75">
      <c r="B105" s="185"/>
      <c r="C105" s="513"/>
      <c r="D105" s="203"/>
      <c r="E105" s="241">
        <f>1742049.32/25.185</f>
        <v>69170.11395672028</v>
      </c>
      <c r="F105" s="513"/>
      <c r="G105" s="507"/>
      <c r="H105" s="480"/>
      <c r="I105" s="181"/>
      <c r="J105" s="182"/>
    </row>
    <row r="106" spans="2:10" ht="15" customHeight="1">
      <c r="B106" s="185"/>
      <c r="C106" s="489" t="s">
        <v>425</v>
      </c>
      <c r="D106" s="203"/>
      <c r="E106" s="241">
        <v>6890.152121697358</v>
      </c>
      <c r="F106" s="504"/>
      <c r="G106" s="518">
        <v>6890.152121697358</v>
      </c>
      <c r="H106" s="489" t="s">
        <v>401</v>
      </c>
      <c r="I106" s="181"/>
      <c r="J106" s="182"/>
    </row>
    <row r="107" spans="2:10" ht="15.75">
      <c r="B107" s="185"/>
      <c r="C107" s="489"/>
      <c r="D107" s="203"/>
      <c r="E107" s="241">
        <v>26384.2065652522</v>
      </c>
      <c r="F107" s="504"/>
      <c r="G107" s="518"/>
      <c r="H107" s="489"/>
      <c r="I107" s="181"/>
      <c r="J107" s="182"/>
    </row>
    <row r="108" spans="2:10" ht="15.75">
      <c r="B108" s="185"/>
      <c r="C108" s="489"/>
      <c r="D108" s="245"/>
      <c r="E108" s="241">
        <f>844621.78/24.98</f>
        <v>33811.92073658927</v>
      </c>
      <c r="F108" s="504"/>
      <c r="G108" s="518"/>
      <c r="H108" s="489"/>
      <c r="I108" s="181"/>
      <c r="J108" s="182"/>
    </row>
    <row r="109" spans="2:10" ht="15.75">
      <c r="B109" s="185"/>
      <c r="C109" s="489"/>
      <c r="D109" s="245"/>
      <c r="E109" s="241">
        <f>1382058.4/24.98</f>
        <v>55326.59727782226</v>
      </c>
      <c r="F109" s="504"/>
      <c r="G109" s="518"/>
      <c r="H109" s="489"/>
      <c r="I109" s="181"/>
      <c r="J109" s="182"/>
    </row>
    <row r="110" spans="2:10" ht="15.75">
      <c r="B110" s="185"/>
      <c r="C110" s="489"/>
      <c r="D110" s="245"/>
      <c r="E110" s="241">
        <f>1239865.18/24.98</f>
        <v>49634.314651721375</v>
      </c>
      <c r="F110" s="504"/>
      <c r="G110" s="518">
        <v>26384.2065652522</v>
      </c>
      <c r="H110" s="489"/>
      <c r="I110" s="181"/>
      <c r="J110" s="182"/>
    </row>
    <row r="111" spans="2:10" ht="15" customHeight="1">
      <c r="B111" s="185"/>
      <c r="C111" s="489"/>
      <c r="D111" s="245"/>
      <c r="E111" s="241">
        <f>1329924.06/24.98</f>
        <v>53239.55404323459</v>
      </c>
      <c r="F111" s="504"/>
      <c r="G111" s="518"/>
      <c r="H111" s="489"/>
      <c r="I111" s="181"/>
      <c r="J111" s="182"/>
    </row>
    <row r="112" spans="2:10" ht="15.75">
      <c r="B112" s="185"/>
      <c r="C112" s="489"/>
      <c r="D112" s="245"/>
      <c r="E112" s="241">
        <f>840860/24.98</f>
        <v>33661.3290632506</v>
      </c>
      <c r="F112" s="504"/>
      <c r="G112" s="518"/>
      <c r="H112" s="489"/>
      <c r="I112" s="181"/>
      <c r="J112" s="182"/>
    </row>
    <row r="113" spans="2:10" ht="15.75">
      <c r="B113" s="185"/>
      <c r="C113" s="489"/>
      <c r="D113" s="245"/>
      <c r="E113" s="241">
        <f>771908.4/24.98</f>
        <v>30901.05684547638</v>
      </c>
      <c r="F113" s="504"/>
      <c r="G113" s="518"/>
      <c r="H113" s="489"/>
      <c r="I113" s="181"/>
      <c r="J113" s="182"/>
    </row>
    <row r="114" spans="2:10" ht="15.75">
      <c r="B114" s="185"/>
      <c r="C114" s="489"/>
      <c r="D114" s="245"/>
      <c r="E114" s="241">
        <f>776785.28/24.98</f>
        <v>31096.28823058447</v>
      </c>
      <c r="F114" s="504"/>
      <c r="G114" s="518"/>
      <c r="H114" s="489"/>
      <c r="I114" s="181"/>
      <c r="J114" s="182"/>
    </row>
    <row r="115" spans="2:10" ht="15.75" customHeight="1">
      <c r="B115" s="185"/>
      <c r="C115" s="485" t="s">
        <v>426</v>
      </c>
      <c r="D115" s="234"/>
      <c r="E115" s="247">
        <f>859877.49/25.58</f>
        <v>33615.22634870993</v>
      </c>
      <c r="F115" s="486"/>
      <c r="G115" s="519">
        <f>377453.28/25.58</f>
        <v>14755.79671618452</v>
      </c>
      <c r="H115" s="489" t="s">
        <v>401</v>
      </c>
      <c r="I115" s="181"/>
      <c r="J115" s="182"/>
    </row>
    <row r="116" spans="2:10" ht="15.75">
      <c r="B116" s="185"/>
      <c r="C116" s="485"/>
      <c r="D116" s="234"/>
      <c r="E116" s="247">
        <f>690085.74/25.58</f>
        <v>26977.550430023457</v>
      </c>
      <c r="F116" s="486"/>
      <c r="G116" s="519"/>
      <c r="H116" s="489"/>
      <c r="I116" s="181"/>
      <c r="J116" s="182"/>
    </row>
    <row r="117" spans="2:10" ht="15.75">
      <c r="B117" s="185"/>
      <c r="C117" s="485"/>
      <c r="D117" s="234"/>
      <c r="E117" s="247">
        <f>735668.2/25.58</f>
        <v>28759.507427677872</v>
      </c>
      <c r="F117" s="486"/>
      <c r="G117" s="519"/>
      <c r="H117" s="489"/>
      <c r="I117" s="181"/>
      <c r="J117" s="182"/>
    </row>
    <row r="118" spans="2:10" ht="15.75">
      <c r="B118" s="185"/>
      <c r="C118" s="485"/>
      <c r="D118" s="234"/>
      <c r="E118" s="247">
        <f>853097.6/25.58</f>
        <v>33350.17982799062</v>
      </c>
      <c r="F118" s="486"/>
      <c r="G118" s="519"/>
      <c r="H118" s="489"/>
      <c r="I118" s="181"/>
      <c r="J118" s="182"/>
    </row>
    <row r="119" spans="2:10" ht="15.75">
      <c r="B119" s="185"/>
      <c r="C119" s="485"/>
      <c r="D119" s="234"/>
      <c r="E119" s="247">
        <f>625484/25.58</f>
        <v>24452.07193119625</v>
      </c>
      <c r="F119" s="486"/>
      <c r="G119" s="519">
        <f>48600/25.58</f>
        <v>1899.9218139171228</v>
      </c>
      <c r="H119" s="489"/>
      <c r="I119" s="181"/>
      <c r="J119" s="182"/>
    </row>
    <row r="120" spans="2:10" ht="15.75">
      <c r="B120" s="185"/>
      <c r="C120" s="485"/>
      <c r="D120" s="234"/>
      <c r="E120" s="247">
        <f>462345.07/25.58</f>
        <v>18074.47498045348</v>
      </c>
      <c r="F120" s="486"/>
      <c r="G120" s="519"/>
      <c r="H120" s="489"/>
      <c r="I120" s="181"/>
      <c r="J120" s="182"/>
    </row>
    <row r="121" spans="2:10" ht="15.75">
      <c r="B121" s="185"/>
      <c r="C121" s="485"/>
      <c r="D121" s="234"/>
      <c r="E121" s="247">
        <f>775628.54/25.58</f>
        <v>30321.67865519938</v>
      </c>
      <c r="F121" s="486"/>
      <c r="G121" s="519"/>
      <c r="H121" s="489"/>
      <c r="I121" s="181"/>
      <c r="J121" s="182"/>
    </row>
    <row r="122" spans="2:10" ht="15.75">
      <c r="B122" s="185"/>
      <c r="C122" s="485"/>
      <c r="D122" s="234"/>
      <c r="E122" s="247">
        <f>143445.9/25.58</f>
        <v>5607.736512900704</v>
      </c>
      <c r="F122" s="486"/>
      <c r="G122" s="519"/>
      <c r="H122" s="489"/>
      <c r="I122" s="181"/>
      <c r="J122" s="182"/>
    </row>
    <row r="123" spans="2:10" ht="25.5" customHeight="1">
      <c r="B123" s="185"/>
      <c r="C123" s="520" t="s">
        <v>452</v>
      </c>
      <c r="D123" s="249"/>
      <c r="E123" s="250">
        <f>361104/25.73</f>
        <v>14034.356781966575</v>
      </c>
      <c r="F123" s="494"/>
      <c r="G123" s="497">
        <v>12479.751263116983</v>
      </c>
      <c r="H123" s="478" t="s">
        <v>401</v>
      </c>
      <c r="I123" s="181"/>
      <c r="J123" s="182"/>
    </row>
    <row r="124" spans="2:10" ht="25.5" customHeight="1">
      <c r="B124" s="185"/>
      <c r="C124" s="521"/>
      <c r="D124" s="251"/>
      <c r="E124" s="252">
        <f>505340/25.73</f>
        <v>19640.10882238632</v>
      </c>
      <c r="F124" s="496"/>
      <c r="G124" s="499"/>
      <c r="H124" s="479"/>
      <c r="I124" s="181"/>
      <c r="J124" s="182"/>
    </row>
    <row r="125" spans="2:10" ht="25.5" customHeight="1">
      <c r="B125" s="185"/>
      <c r="C125" s="521"/>
      <c r="D125" s="213"/>
      <c r="E125" s="248">
        <f>1092448/25.73</f>
        <v>42458.142246404976</v>
      </c>
      <c r="F125" s="494"/>
      <c r="G125" s="523">
        <v>1554.6055188495918</v>
      </c>
      <c r="H125" s="479"/>
      <c r="I125" s="181"/>
      <c r="J125" s="182"/>
    </row>
    <row r="126" spans="2:10" ht="25.5" customHeight="1">
      <c r="B126" s="185"/>
      <c r="C126" s="521"/>
      <c r="D126" s="213"/>
      <c r="E126" s="248">
        <f>748780/25.73</f>
        <v>29101.438010104936</v>
      </c>
      <c r="F126" s="495"/>
      <c r="G126" s="524"/>
      <c r="H126" s="479"/>
      <c r="I126" s="181"/>
      <c r="J126" s="182"/>
    </row>
    <row r="127" spans="2:10" ht="25.5" customHeight="1">
      <c r="B127" s="185"/>
      <c r="C127" s="522"/>
      <c r="D127" s="213"/>
      <c r="E127" s="248">
        <f>475300/25.73</f>
        <v>18472.600077730276</v>
      </c>
      <c r="F127" s="496"/>
      <c r="G127" s="525"/>
      <c r="H127" s="480"/>
      <c r="I127" s="181"/>
      <c r="J127" s="182"/>
    </row>
    <row r="128" spans="2:10" ht="15.75" customHeight="1">
      <c r="B128" s="185"/>
      <c r="C128" s="486" t="s">
        <v>427</v>
      </c>
      <c r="D128" s="231"/>
      <c r="E128" s="226">
        <f>855528/25.73</f>
        <v>33250.21375825884</v>
      </c>
      <c r="F128" s="487"/>
      <c r="G128" s="488">
        <v>36377.76914108045</v>
      </c>
      <c r="H128" s="489" t="s">
        <v>401</v>
      </c>
      <c r="I128" s="181"/>
      <c r="J128" s="182"/>
    </row>
    <row r="129" spans="2:10" ht="15.75">
      <c r="B129" s="185"/>
      <c r="C129" s="486"/>
      <c r="D129" s="231"/>
      <c r="E129" s="226">
        <f>993600/25.73</f>
        <v>38616.401088223865</v>
      </c>
      <c r="F129" s="487"/>
      <c r="G129" s="488"/>
      <c r="H129" s="489"/>
      <c r="I129" s="181"/>
      <c r="J129" s="182"/>
    </row>
    <row r="130" spans="2:10" ht="15.75">
      <c r="B130" s="185"/>
      <c r="C130" s="486"/>
      <c r="D130" s="231"/>
      <c r="E130" s="226">
        <f>992434.32/25.73</f>
        <v>38571.096774193546</v>
      </c>
      <c r="F130" s="487"/>
      <c r="G130" s="488"/>
      <c r="H130" s="489"/>
      <c r="I130" s="181"/>
      <c r="J130" s="182"/>
    </row>
    <row r="131" spans="2:10" ht="15.75">
      <c r="B131" s="185"/>
      <c r="C131" s="486"/>
      <c r="D131" s="231"/>
      <c r="E131" s="226">
        <f>1177988.64/25.73</f>
        <v>45782.69102215312</v>
      </c>
      <c r="F131" s="487"/>
      <c r="G131" s="488"/>
      <c r="H131" s="489"/>
      <c r="I131" s="181"/>
      <c r="J131" s="182"/>
    </row>
    <row r="132" spans="2:10" ht="15.75">
      <c r="B132" s="185"/>
      <c r="C132" s="486"/>
      <c r="D132" s="231"/>
      <c r="E132" s="226">
        <f>1011540/25.73</f>
        <v>39313.6416634279</v>
      </c>
      <c r="F132" s="487"/>
      <c r="G132" s="488"/>
      <c r="H132" s="489"/>
      <c r="I132" s="181"/>
      <c r="J132" s="182"/>
    </row>
    <row r="133" spans="2:10" ht="15.75">
      <c r="B133" s="185"/>
      <c r="C133" s="486"/>
      <c r="D133" s="231"/>
      <c r="E133" s="226">
        <f>823632/25.73</f>
        <v>32010.571317528178</v>
      </c>
      <c r="F133" s="487"/>
      <c r="G133" s="488"/>
      <c r="H133" s="489"/>
      <c r="I133" s="181"/>
      <c r="J133" s="182"/>
    </row>
    <row r="134" spans="2:10" ht="15.75">
      <c r="B134" s="185"/>
      <c r="C134" s="486"/>
      <c r="D134" s="231"/>
      <c r="E134" s="226">
        <f>1242918/25.73</f>
        <v>48306.17955693743</v>
      </c>
      <c r="F134" s="487"/>
      <c r="G134" s="488"/>
      <c r="H134" s="489"/>
      <c r="I134" s="181"/>
      <c r="J134" s="182"/>
    </row>
    <row r="135" spans="2:10" ht="15.75">
      <c r="B135" s="185"/>
      <c r="C135" s="486"/>
      <c r="D135" s="231"/>
      <c r="E135" s="226">
        <f>1134276/25.73</f>
        <v>44083.793237465994</v>
      </c>
      <c r="F135" s="487"/>
      <c r="G135" s="488"/>
      <c r="H135" s="489"/>
      <c r="I135" s="181"/>
      <c r="J135" s="182"/>
    </row>
    <row r="136" spans="2:10" ht="15.75">
      <c r="B136" s="185"/>
      <c r="C136" s="486"/>
      <c r="D136" s="231"/>
      <c r="E136" s="226">
        <f>998700/25.73</f>
        <v>38814.613291877184</v>
      </c>
      <c r="F136" s="487"/>
      <c r="G136" s="490">
        <v>1772.2502914885347</v>
      </c>
      <c r="H136" s="489"/>
      <c r="I136" s="181"/>
      <c r="J136" s="182"/>
    </row>
    <row r="137" spans="2:10" ht="15.75">
      <c r="B137" s="185"/>
      <c r="C137" s="486"/>
      <c r="D137" s="231"/>
      <c r="E137" s="226">
        <f>1046580/25.73</f>
        <v>40675.47609794015</v>
      </c>
      <c r="F137" s="487"/>
      <c r="G137" s="490"/>
      <c r="H137" s="489"/>
      <c r="I137" s="181"/>
      <c r="J137" s="182"/>
    </row>
    <row r="138" spans="2:10" ht="15.75">
      <c r="B138" s="185"/>
      <c r="C138" s="486"/>
      <c r="D138" s="231"/>
      <c r="E138" s="226">
        <f>967776/25.73</f>
        <v>37612.747765254564</v>
      </c>
      <c r="F138" s="487"/>
      <c r="G138" s="490"/>
      <c r="H138" s="489"/>
      <c r="I138" s="181"/>
      <c r="J138" s="182"/>
    </row>
    <row r="139" spans="2:10" ht="15.75">
      <c r="B139" s="185"/>
      <c r="C139" s="486"/>
      <c r="D139" s="231"/>
      <c r="E139" s="226">
        <f>1006828/25.73</f>
        <v>39130.50913330742</v>
      </c>
      <c r="F139" s="487"/>
      <c r="G139" s="490"/>
      <c r="H139" s="489"/>
      <c r="I139" s="181"/>
      <c r="J139" s="182"/>
    </row>
    <row r="140" spans="2:10" ht="15.75">
      <c r="B140" s="185"/>
      <c r="C140" s="486"/>
      <c r="D140" s="231"/>
      <c r="E140" s="226">
        <f>1228800/25.73</f>
        <v>47757.48153905946</v>
      </c>
      <c r="F140" s="487"/>
      <c r="G140" s="490"/>
      <c r="H140" s="489"/>
      <c r="I140" s="181"/>
      <c r="J140" s="182"/>
    </row>
    <row r="141" spans="2:10" ht="15.75">
      <c r="B141" s="185"/>
      <c r="C141" s="486"/>
      <c r="D141" s="231"/>
      <c r="E141" s="226">
        <f>1264275/25.73</f>
        <v>49136.2223085892</v>
      </c>
      <c r="F141" s="487"/>
      <c r="G141" s="490"/>
      <c r="H141" s="489"/>
      <c r="I141" s="181"/>
      <c r="J141" s="182"/>
    </row>
    <row r="142" spans="2:10" ht="15.75">
      <c r="B142" s="185"/>
      <c r="C142" s="486"/>
      <c r="D142" s="231"/>
      <c r="E142" s="226">
        <f>928440/25.73</f>
        <v>36083.94869801788</v>
      </c>
      <c r="F142" s="487"/>
      <c r="G142" s="490"/>
      <c r="H142" s="489"/>
      <c r="I142" s="181"/>
      <c r="J142" s="182"/>
    </row>
    <row r="143" spans="2:10" ht="15.75">
      <c r="B143" s="185"/>
      <c r="C143" s="486"/>
      <c r="D143" s="231"/>
      <c r="E143" s="226">
        <f>1126080/25.73</f>
        <v>43765.25456665371</v>
      </c>
      <c r="F143" s="487"/>
      <c r="G143" s="490"/>
      <c r="H143" s="489"/>
      <c r="I143" s="181"/>
      <c r="J143" s="182"/>
    </row>
    <row r="144" spans="2:10" ht="15.75" customHeight="1">
      <c r="B144" s="185"/>
      <c r="C144" s="486" t="s">
        <v>453</v>
      </c>
      <c r="D144" s="249"/>
      <c r="E144" s="250">
        <f>1049947.2/25.753</f>
        <v>40769.89865258416</v>
      </c>
      <c r="F144" s="487"/>
      <c r="G144" s="488">
        <v>29111.451093076532</v>
      </c>
      <c r="H144" s="489" t="s">
        <v>401</v>
      </c>
      <c r="I144" s="181"/>
      <c r="J144" s="182"/>
    </row>
    <row r="145" spans="2:10" ht="15.75">
      <c r="B145" s="185"/>
      <c r="C145" s="486"/>
      <c r="D145" s="213"/>
      <c r="E145" s="248">
        <f>1056240/25.753</f>
        <v>41014.25076690094</v>
      </c>
      <c r="F145" s="487"/>
      <c r="G145" s="488"/>
      <c r="H145" s="489"/>
      <c r="I145" s="181"/>
      <c r="J145" s="182"/>
    </row>
    <row r="146" spans="2:10" ht="15.75">
      <c r="B146" s="185"/>
      <c r="C146" s="486"/>
      <c r="D146" s="213"/>
      <c r="E146" s="248">
        <f>1379836.86/25.753</f>
        <v>53579.6551858036</v>
      </c>
      <c r="F146" s="487"/>
      <c r="G146" s="488"/>
      <c r="H146" s="489"/>
      <c r="I146" s="181"/>
      <c r="J146" s="182"/>
    </row>
    <row r="147" spans="2:10" ht="15.75">
      <c r="B147" s="185"/>
      <c r="C147" s="486"/>
      <c r="D147" s="213"/>
      <c r="E147" s="248">
        <f>1366248/25.753</f>
        <v>53051.99394245331</v>
      </c>
      <c r="F147" s="487"/>
      <c r="G147" s="488"/>
      <c r="H147" s="489"/>
      <c r="I147" s="181"/>
      <c r="J147" s="182"/>
    </row>
    <row r="148" spans="2:10" ht="15.75">
      <c r="B148" s="185"/>
      <c r="C148" s="486"/>
      <c r="D148" s="213"/>
      <c r="E148" s="248">
        <f>1257364.2/25.753</f>
        <v>48823.98943812371</v>
      </c>
      <c r="F148" s="487"/>
      <c r="G148" s="488"/>
      <c r="H148" s="489"/>
      <c r="I148" s="181"/>
      <c r="J148" s="182"/>
    </row>
    <row r="149" spans="2:10" ht="15.75">
      <c r="B149" s="185"/>
      <c r="C149" s="486"/>
      <c r="D149" s="213"/>
      <c r="E149" s="248">
        <f>1646168.4/25.753</f>
        <v>63921.42274686444</v>
      </c>
      <c r="F149" s="487"/>
      <c r="G149" s="490">
        <v>9925.057274880597</v>
      </c>
      <c r="H149" s="489"/>
      <c r="I149" s="181"/>
      <c r="J149" s="182"/>
    </row>
    <row r="150" spans="2:10" ht="15.75">
      <c r="B150" s="185"/>
      <c r="C150" s="486"/>
      <c r="D150" s="213"/>
      <c r="E150" s="248">
        <f>1545425.4/25.753</f>
        <v>60009.52898691414</v>
      </c>
      <c r="F150" s="487"/>
      <c r="G150" s="490"/>
      <c r="H150" s="489"/>
      <c r="I150" s="181"/>
      <c r="J150" s="182"/>
    </row>
    <row r="151" spans="2:10" ht="15.75">
      <c r="B151" s="185"/>
      <c r="C151" s="486"/>
      <c r="D151" s="213"/>
      <c r="E151" s="248">
        <f>1394132.58/25.753</f>
        <v>54134.7641051528</v>
      </c>
      <c r="F151" s="487"/>
      <c r="G151" s="490"/>
      <c r="H151" s="489"/>
      <c r="I151" s="181"/>
      <c r="J151" s="182"/>
    </row>
    <row r="152" spans="2:10" ht="15.75">
      <c r="B152" s="185"/>
      <c r="C152" s="486"/>
      <c r="D152" s="213"/>
      <c r="E152" s="248">
        <f>1515033/25.753</f>
        <v>58829.37910146391</v>
      </c>
      <c r="F152" s="487"/>
      <c r="G152" s="490"/>
      <c r="H152" s="489"/>
      <c r="I152" s="181"/>
      <c r="J152" s="182"/>
    </row>
    <row r="153" spans="2:10" ht="15.75">
      <c r="B153" s="185"/>
      <c r="C153" s="486"/>
      <c r="D153" s="213"/>
      <c r="E153" s="248">
        <f>1314000/25.753</f>
        <v>51023.18176523124</v>
      </c>
      <c r="F153" s="487"/>
      <c r="G153" s="490"/>
      <c r="H153" s="489"/>
      <c r="I153" s="181"/>
      <c r="J153" s="182"/>
    </row>
    <row r="154" spans="2:10" ht="15.75">
      <c r="B154" s="185"/>
      <c r="C154" s="486"/>
      <c r="D154" s="213"/>
      <c r="E154" s="248">
        <f>1041516/25.753</f>
        <v>40442.51155205219</v>
      </c>
      <c r="F154" s="487"/>
      <c r="G154" s="490"/>
      <c r="H154" s="489"/>
      <c r="I154" s="181"/>
      <c r="J154" s="182"/>
    </row>
    <row r="155" spans="2:10" ht="20.25" customHeight="1">
      <c r="B155" s="185"/>
      <c r="C155" s="486" t="s">
        <v>428</v>
      </c>
      <c r="D155" s="213"/>
      <c r="E155" s="226">
        <f>527207.7/25.73</f>
        <v>20489.999999999996</v>
      </c>
      <c r="F155" s="487"/>
      <c r="G155" s="488">
        <v>8900</v>
      </c>
      <c r="H155" s="489" t="s">
        <v>401</v>
      </c>
      <c r="I155" s="181"/>
      <c r="J155" s="182"/>
    </row>
    <row r="156" spans="2:10" ht="20.25" customHeight="1">
      <c r="B156" s="185"/>
      <c r="C156" s="486"/>
      <c r="D156" s="213"/>
      <c r="E156" s="248">
        <f>464800/25.73</f>
        <v>18064.516129032258</v>
      </c>
      <c r="F156" s="487"/>
      <c r="G156" s="488"/>
      <c r="H156" s="489"/>
      <c r="I156" s="181"/>
      <c r="J156" s="182"/>
    </row>
    <row r="157" spans="2:10" ht="20.25" customHeight="1">
      <c r="B157" s="185"/>
      <c r="C157" s="486"/>
      <c r="D157" s="213"/>
      <c r="E157" s="248">
        <f>32000/25.73</f>
        <v>1243.6844150796735</v>
      </c>
      <c r="F157" s="487"/>
      <c r="G157" s="490">
        <v>8462.883793237466</v>
      </c>
      <c r="H157" s="489"/>
      <c r="I157" s="181"/>
      <c r="J157" s="182"/>
    </row>
    <row r="158" spans="2:10" ht="20.25" customHeight="1">
      <c r="B158" s="185"/>
      <c r="C158" s="486"/>
      <c r="D158" s="213"/>
      <c r="E158" s="248">
        <f>330000/25.73</f>
        <v>12825.495530509133</v>
      </c>
      <c r="F158" s="487"/>
      <c r="G158" s="490"/>
      <c r="H158" s="489"/>
      <c r="I158" s="181"/>
      <c r="J158" s="182"/>
    </row>
    <row r="159" spans="2:10" ht="20.25" customHeight="1">
      <c r="B159" s="185"/>
      <c r="C159" s="486"/>
      <c r="D159" s="213"/>
      <c r="E159" s="248">
        <f>547000/25.73</f>
        <v>21259.23047026817</v>
      </c>
      <c r="F159" s="487"/>
      <c r="G159" s="490">
        <v>1243.6844150796735</v>
      </c>
      <c r="H159" s="489"/>
      <c r="I159" s="181"/>
      <c r="J159" s="182"/>
    </row>
    <row r="160" spans="2:10" ht="20.25" customHeight="1">
      <c r="B160" s="185"/>
      <c r="C160" s="486"/>
      <c r="D160" s="213"/>
      <c r="E160" s="248">
        <f>20000/25.73</f>
        <v>777.3027594247959</v>
      </c>
      <c r="F160" s="487"/>
      <c r="G160" s="490"/>
      <c r="H160" s="489"/>
      <c r="I160" s="181"/>
      <c r="J160" s="182"/>
    </row>
    <row r="161" spans="2:10" ht="20.25" customHeight="1">
      <c r="B161" s="185"/>
      <c r="C161" s="486" t="s">
        <v>454</v>
      </c>
      <c r="D161" s="213"/>
      <c r="E161" s="226">
        <v>4469.490866692577</v>
      </c>
      <c r="F161" s="487"/>
      <c r="G161" s="488">
        <v>4469.490866692577</v>
      </c>
      <c r="H161" s="478" t="s">
        <v>394</v>
      </c>
      <c r="I161" s="181"/>
      <c r="J161" s="182"/>
    </row>
    <row r="162" spans="2:10" ht="20.25" customHeight="1">
      <c r="B162" s="185"/>
      <c r="C162" s="486"/>
      <c r="D162" s="213"/>
      <c r="E162" s="248">
        <v>5829.770695685969</v>
      </c>
      <c r="F162" s="487"/>
      <c r="G162" s="488"/>
      <c r="H162" s="479"/>
      <c r="I162" s="181"/>
      <c r="J162" s="182"/>
    </row>
    <row r="163" spans="2:10" ht="20.25" customHeight="1">
      <c r="B163" s="185"/>
      <c r="C163" s="486"/>
      <c r="D163" s="213"/>
      <c r="E163" s="248">
        <f>440000/25.73</f>
        <v>17100.660707345512</v>
      </c>
      <c r="F163" s="487"/>
      <c r="G163" s="490">
        <v>5829.770695685969</v>
      </c>
      <c r="H163" s="479"/>
      <c r="I163" s="181"/>
      <c r="J163" s="182"/>
    </row>
    <row r="164" spans="2:10" ht="20.25" customHeight="1">
      <c r="B164" s="185"/>
      <c r="C164" s="486"/>
      <c r="D164" s="203"/>
      <c r="E164" s="247">
        <f>280000/25.73</f>
        <v>10882.238631947142</v>
      </c>
      <c r="F164" s="487"/>
      <c r="G164" s="490"/>
      <c r="H164" s="480"/>
      <c r="I164" s="181"/>
      <c r="J164" s="182"/>
    </row>
    <row r="165" spans="2:10" ht="15">
      <c r="B165" s="185"/>
      <c r="C165" s="526"/>
      <c r="D165" s="527"/>
      <c r="E165" s="527"/>
      <c r="F165" s="527"/>
      <c r="G165" s="527"/>
      <c r="H165" s="528"/>
      <c r="I165" s="181"/>
      <c r="J165" s="182"/>
    </row>
    <row r="166" spans="2:10" ht="15">
      <c r="B166" s="185"/>
      <c r="C166" s="482" t="s">
        <v>386</v>
      </c>
      <c r="D166" s="483"/>
      <c r="E166" s="483"/>
      <c r="F166" s="483"/>
      <c r="G166" s="483"/>
      <c r="H166" s="484"/>
      <c r="I166" s="181"/>
      <c r="J166" s="182"/>
    </row>
    <row r="167" spans="2:10" ht="15.75">
      <c r="B167" s="185"/>
      <c r="C167" s="485" t="s">
        <v>429</v>
      </c>
      <c r="D167" s="206"/>
      <c r="E167" s="223">
        <f>138860.57/25.58</f>
        <v>5428.482017200939</v>
      </c>
      <c r="F167" s="486"/>
      <c r="G167" s="519">
        <f>138860.57/25.58</f>
        <v>5428.482017200939</v>
      </c>
      <c r="H167" s="478" t="s">
        <v>401</v>
      </c>
      <c r="I167" s="181"/>
      <c r="J167" s="182"/>
    </row>
    <row r="168" spans="2:10" ht="15.75">
      <c r="B168" s="185"/>
      <c r="C168" s="485"/>
      <c r="D168" s="206"/>
      <c r="E168" s="223">
        <f>17203.2/25.58</f>
        <v>672.5254104769352</v>
      </c>
      <c r="F168" s="486"/>
      <c r="G168" s="519"/>
      <c r="H168" s="479"/>
      <c r="I168" s="181"/>
      <c r="J168" s="182"/>
    </row>
    <row r="169" spans="2:10" ht="15.75">
      <c r="B169" s="185"/>
      <c r="C169" s="485"/>
      <c r="D169" s="206"/>
      <c r="E169" s="223">
        <f>96000/25.58</f>
        <v>3752.931978107897</v>
      </c>
      <c r="F169" s="486"/>
      <c r="G169" s="519">
        <f>17203.2/25.58</f>
        <v>672.5254104769352</v>
      </c>
      <c r="H169" s="479"/>
      <c r="I169" s="181"/>
      <c r="J169" s="182"/>
    </row>
    <row r="170" spans="2:10" ht="15.75">
      <c r="B170" s="185"/>
      <c r="C170" s="485"/>
      <c r="D170" s="208"/>
      <c r="E170" s="223">
        <f>83760/25.58</f>
        <v>3274.43315089914</v>
      </c>
      <c r="F170" s="486"/>
      <c r="G170" s="519"/>
      <c r="H170" s="479"/>
      <c r="I170" s="181"/>
      <c r="J170" s="182"/>
    </row>
    <row r="171" spans="2:10" ht="15.75">
      <c r="B171" s="185"/>
      <c r="C171" s="485"/>
      <c r="D171" s="208"/>
      <c r="E171" s="223">
        <f>112320/25.58</f>
        <v>4390.930414386239</v>
      </c>
      <c r="F171" s="486"/>
      <c r="G171" s="519"/>
      <c r="H171" s="480"/>
      <c r="I171" s="181"/>
      <c r="J171" s="182"/>
    </row>
    <row r="172" spans="2:10" ht="21" customHeight="1">
      <c r="B172" s="185"/>
      <c r="C172" s="491" t="s">
        <v>474</v>
      </c>
      <c r="D172" s="253"/>
      <c r="E172" s="254">
        <f>41553.37/25.43</f>
        <v>1634.029492725128</v>
      </c>
      <c r="F172" s="494"/>
      <c r="G172" s="497">
        <f>41553.37/25.43</f>
        <v>1634.029492725128</v>
      </c>
      <c r="H172" s="478" t="s">
        <v>394</v>
      </c>
      <c r="I172" s="181"/>
      <c r="J172" s="182"/>
    </row>
    <row r="173" spans="2:10" ht="21" customHeight="1">
      <c r="B173" s="185"/>
      <c r="C173" s="492"/>
      <c r="D173" s="213"/>
      <c r="E173" s="226">
        <f>59489.69/25.43</f>
        <v>2339.3507668108537</v>
      </c>
      <c r="F173" s="495"/>
      <c r="G173" s="498"/>
      <c r="H173" s="479"/>
      <c r="I173" s="181"/>
      <c r="J173" s="182"/>
    </row>
    <row r="174" spans="2:10" ht="21" customHeight="1">
      <c r="B174" s="185"/>
      <c r="C174" s="493"/>
      <c r="D174" s="213"/>
      <c r="E174" s="226">
        <f>35621.33/25.43</f>
        <v>1400.7601258356274</v>
      </c>
      <c r="F174" s="496"/>
      <c r="G174" s="499"/>
      <c r="H174" s="480"/>
      <c r="I174" s="181"/>
      <c r="J174" s="182"/>
    </row>
    <row r="175" spans="2:10" ht="15.75">
      <c r="B175" s="185"/>
      <c r="C175" s="486" t="s">
        <v>430</v>
      </c>
      <c r="D175" s="213"/>
      <c r="E175" s="226">
        <f>96400/25.73</f>
        <v>3746.5993004275165</v>
      </c>
      <c r="F175" s="487"/>
      <c r="G175" s="488">
        <f>86400/25.73</f>
        <v>3357.9479207151185</v>
      </c>
      <c r="H175" s="489" t="s">
        <v>401</v>
      </c>
      <c r="I175" s="181"/>
      <c r="J175" s="182"/>
    </row>
    <row r="176" spans="2:10" ht="15.75">
      <c r="B176" s="185"/>
      <c r="C176" s="486"/>
      <c r="D176" s="213"/>
      <c r="E176" s="248">
        <f>40725/25.73</f>
        <v>1582.7827438787408</v>
      </c>
      <c r="F176" s="487"/>
      <c r="G176" s="488"/>
      <c r="H176" s="489"/>
      <c r="I176" s="181"/>
      <c r="J176" s="182"/>
    </row>
    <row r="177" spans="2:10" ht="15.75">
      <c r="B177" s="185"/>
      <c r="C177" s="486"/>
      <c r="D177" s="213"/>
      <c r="E177" s="248">
        <f>249120/25.73</f>
        <v>9682.083171395258</v>
      </c>
      <c r="F177" s="310"/>
      <c r="G177" s="215">
        <f>7125/25.73</f>
        <v>276.91410804508354</v>
      </c>
      <c r="H177" s="489"/>
      <c r="I177" s="181"/>
      <c r="J177" s="182"/>
    </row>
    <row r="178" spans="2:10" ht="15.75">
      <c r="B178" s="185"/>
      <c r="C178" s="486"/>
      <c r="D178" s="213"/>
      <c r="E178" s="248">
        <f>181621.75/25.73</f>
        <v>7058.754372328021</v>
      </c>
      <c r="F178" s="487"/>
      <c r="G178" s="490">
        <f>249120/25.73</f>
        <v>9682.083171395258</v>
      </c>
      <c r="H178" s="489"/>
      <c r="I178" s="181"/>
      <c r="J178" s="182"/>
    </row>
    <row r="179" spans="2:10" ht="15.75">
      <c r="B179" s="185"/>
      <c r="C179" s="486"/>
      <c r="D179" s="213"/>
      <c r="E179" s="248">
        <f>145920/25.73</f>
        <v>5671.200932763311</v>
      </c>
      <c r="F179" s="487"/>
      <c r="G179" s="490"/>
      <c r="H179" s="489"/>
      <c r="I179" s="181"/>
      <c r="J179" s="182"/>
    </row>
    <row r="180" spans="2:10" ht="15.75">
      <c r="B180" s="185"/>
      <c r="C180" s="491" t="s">
        <v>475</v>
      </c>
      <c r="D180" s="253"/>
      <c r="E180" s="254">
        <f>39302/25.73</f>
        <v>1527.4776525456666</v>
      </c>
      <c r="F180" s="494"/>
      <c r="G180" s="497">
        <f>39302/25.73</f>
        <v>1527.4776525456666</v>
      </c>
      <c r="H180" s="478" t="s">
        <v>394</v>
      </c>
      <c r="I180" s="181"/>
      <c r="J180" s="182"/>
    </row>
    <row r="181" spans="2:10" ht="15.75">
      <c r="B181" s="185"/>
      <c r="C181" s="492"/>
      <c r="D181" s="213"/>
      <c r="E181" s="226">
        <f>115131.3618/25.73</f>
        <v>4474.596261173727</v>
      </c>
      <c r="F181" s="495"/>
      <c r="G181" s="498"/>
      <c r="H181" s="479"/>
      <c r="I181" s="181"/>
      <c r="J181" s="182"/>
    </row>
    <row r="182" spans="2:10" ht="15.75">
      <c r="B182" s="185"/>
      <c r="C182" s="493"/>
      <c r="D182" s="213"/>
      <c r="E182" s="226">
        <f>30532.98/25.73</f>
        <v>1186.6684803731052</v>
      </c>
      <c r="F182" s="496"/>
      <c r="G182" s="499"/>
      <c r="H182" s="480"/>
      <c r="I182" s="181"/>
      <c r="J182" s="182"/>
    </row>
    <row r="183" spans="2:10" ht="15.75">
      <c r="B183" s="185"/>
      <c r="C183" s="491" t="s">
        <v>431</v>
      </c>
      <c r="D183" s="213"/>
      <c r="E183" s="226">
        <f>57600/25.753</f>
        <v>2236.632625325205</v>
      </c>
      <c r="F183" s="494"/>
      <c r="G183" s="497">
        <f>57600/25.753</f>
        <v>2236.632625325205</v>
      </c>
      <c r="H183" s="478" t="s">
        <v>394</v>
      </c>
      <c r="I183" s="181"/>
      <c r="J183" s="182"/>
    </row>
    <row r="184" spans="2:10" ht="15.75">
      <c r="B184" s="185"/>
      <c r="C184" s="492"/>
      <c r="D184" s="213"/>
      <c r="E184" s="226">
        <f>89459.28/25.753</f>
        <v>3473.742088300392</v>
      </c>
      <c r="F184" s="495"/>
      <c r="G184" s="498"/>
      <c r="H184" s="479"/>
      <c r="I184" s="181"/>
      <c r="J184" s="182"/>
    </row>
    <row r="185" spans="2:10" ht="15.75">
      <c r="B185" s="185"/>
      <c r="C185" s="492"/>
      <c r="D185" s="213"/>
      <c r="E185" s="226">
        <f>63960/25.753</f>
        <v>2483.5941443715296</v>
      </c>
      <c r="F185" s="495"/>
      <c r="G185" s="498"/>
      <c r="H185" s="479"/>
      <c r="I185" s="181"/>
      <c r="J185" s="182"/>
    </row>
    <row r="186" spans="2:10" ht="15.75">
      <c r="B186" s="185"/>
      <c r="C186" s="492"/>
      <c r="D186" s="255"/>
      <c r="E186" s="226">
        <f>76200/25.753</f>
        <v>2958.8785772531355</v>
      </c>
      <c r="F186" s="495"/>
      <c r="G186" s="498"/>
      <c r="H186" s="479"/>
      <c r="I186" s="181"/>
      <c r="J186" s="182"/>
    </row>
    <row r="187" spans="2:10" ht="15.75">
      <c r="B187" s="185"/>
      <c r="C187" s="493"/>
      <c r="D187" s="213"/>
      <c r="E187" s="226">
        <f>69360/25.753</f>
        <v>2693.2784529957676</v>
      </c>
      <c r="F187" s="496"/>
      <c r="G187" s="499"/>
      <c r="H187" s="480"/>
      <c r="I187" s="181"/>
      <c r="J187" s="182"/>
    </row>
    <row r="188" spans="2:10" ht="16.5" customHeight="1">
      <c r="B188" s="185"/>
      <c r="C188" s="486" t="s">
        <v>476</v>
      </c>
      <c r="D188" s="213"/>
      <c r="E188" s="226">
        <f>595378.2/25.73</f>
        <v>23139.4558880684</v>
      </c>
      <c r="F188" s="487"/>
      <c r="G188" s="488">
        <f>145311/25.73</f>
        <v>5647.532063738826</v>
      </c>
      <c r="H188" s="478" t="s">
        <v>401</v>
      </c>
      <c r="I188" s="181"/>
      <c r="J188" s="182"/>
    </row>
    <row r="189" spans="2:10" ht="16.5" customHeight="1">
      <c r="B189" s="185"/>
      <c r="C189" s="486"/>
      <c r="D189" s="213"/>
      <c r="E189" s="248">
        <f>300840/25.73</f>
        <v>11692.18810726778</v>
      </c>
      <c r="F189" s="487"/>
      <c r="G189" s="488"/>
      <c r="H189" s="479"/>
      <c r="I189" s="181"/>
      <c r="J189" s="182"/>
    </row>
    <row r="190" spans="2:10" ht="16.5" customHeight="1">
      <c r="B190" s="185"/>
      <c r="C190" s="486"/>
      <c r="D190" s="213"/>
      <c r="E190" s="248">
        <f>206033.4/25.73</f>
        <v>8007.516517683637</v>
      </c>
      <c r="F190" s="487"/>
      <c r="G190" s="490">
        <f>121200/25.73</f>
        <v>4710.454722114264</v>
      </c>
      <c r="H190" s="479"/>
      <c r="I190" s="181"/>
      <c r="J190" s="182"/>
    </row>
    <row r="191" spans="2:10" ht="16.5" customHeight="1">
      <c r="B191" s="185"/>
      <c r="C191" s="486"/>
      <c r="D191" s="213"/>
      <c r="E191" s="248">
        <f>173556/25.73</f>
        <v>6745.277885736495</v>
      </c>
      <c r="F191" s="487"/>
      <c r="G191" s="490"/>
      <c r="H191" s="479"/>
      <c r="I191" s="181"/>
      <c r="J191" s="182"/>
    </row>
    <row r="192" spans="2:10" ht="15.75" customHeight="1">
      <c r="B192" s="185"/>
      <c r="C192" s="486"/>
      <c r="D192" s="256"/>
      <c r="E192" s="247">
        <f>136500/25.73</f>
        <v>5305.091333074232</v>
      </c>
      <c r="F192" s="487"/>
      <c r="G192" s="490">
        <f>21000/25.73</f>
        <v>816.1678973960358</v>
      </c>
      <c r="H192" s="479"/>
      <c r="I192" s="181"/>
      <c r="J192" s="182"/>
    </row>
    <row r="193" spans="2:10" ht="15.75">
      <c r="B193" s="185"/>
      <c r="C193" s="486"/>
      <c r="D193" s="256"/>
      <c r="E193" s="247">
        <f>289380/25.73</f>
        <v>11246.793626117373</v>
      </c>
      <c r="F193" s="487"/>
      <c r="G193" s="490"/>
      <c r="H193" s="479"/>
      <c r="I193" s="181"/>
      <c r="J193" s="182"/>
    </row>
    <row r="194" spans="2:10" ht="15.75" customHeight="1">
      <c r="B194" s="185"/>
      <c r="C194" s="486"/>
      <c r="D194" s="256"/>
      <c r="E194" s="257">
        <f>253016.1/25.73</f>
        <v>9833.505635445006</v>
      </c>
      <c r="F194" s="487"/>
      <c r="G194" s="490">
        <f>124838.4/25.73</f>
        <v>4851.861640108822</v>
      </c>
      <c r="H194" s="479"/>
      <c r="I194" s="181"/>
      <c r="J194" s="182"/>
    </row>
    <row r="195" spans="2:10" ht="15.75">
      <c r="B195" s="185"/>
      <c r="C195" s="486"/>
      <c r="D195" s="258"/>
      <c r="E195" s="257">
        <f>655200/25.73</f>
        <v>25464.438398756316</v>
      </c>
      <c r="F195" s="487"/>
      <c r="G195" s="490"/>
      <c r="H195" s="480"/>
      <c r="I195" s="181"/>
      <c r="J195" s="182"/>
    </row>
    <row r="196" spans="2:10" ht="15">
      <c r="B196" s="185"/>
      <c r="C196" s="463"/>
      <c r="D196" s="464"/>
      <c r="E196" s="464"/>
      <c r="F196" s="464"/>
      <c r="G196" s="464"/>
      <c r="H196" s="529"/>
      <c r="I196" s="181"/>
      <c r="J196" s="182"/>
    </row>
    <row r="197" spans="2:10" ht="15">
      <c r="B197" s="185"/>
      <c r="C197" s="526"/>
      <c r="D197" s="527"/>
      <c r="E197" s="527"/>
      <c r="F197" s="527"/>
      <c r="G197" s="527"/>
      <c r="H197" s="528"/>
      <c r="I197" s="181"/>
      <c r="J197" s="182"/>
    </row>
    <row r="198" spans="2:10" ht="15">
      <c r="B198" s="185"/>
      <c r="C198" s="482" t="s">
        <v>387</v>
      </c>
      <c r="D198" s="483"/>
      <c r="E198" s="483"/>
      <c r="F198" s="483"/>
      <c r="G198" s="483"/>
      <c r="H198" s="484"/>
      <c r="I198" s="181"/>
      <c r="J198" s="182"/>
    </row>
    <row r="199" spans="2:10" ht="19.5" customHeight="1">
      <c r="B199" s="185"/>
      <c r="C199" s="240" t="s">
        <v>455</v>
      </c>
      <c r="D199" s="246"/>
      <c r="E199" s="259">
        <v>2039.067508882748</v>
      </c>
      <c r="F199" s="308"/>
      <c r="G199" s="242">
        <v>2039.067508882748</v>
      </c>
      <c r="H199" s="243" t="s">
        <v>395</v>
      </c>
      <c r="I199" s="181"/>
      <c r="J199" s="182"/>
    </row>
    <row r="200" spans="2:10" ht="46.5" customHeight="1">
      <c r="B200" s="185"/>
      <c r="C200" s="500" t="s">
        <v>456</v>
      </c>
      <c r="D200" s="208"/>
      <c r="E200" s="223">
        <f>452921.28/25.58</f>
        <v>17706.070367474593</v>
      </c>
      <c r="F200" s="530"/>
      <c r="G200" s="532">
        <v>17706.070367474593</v>
      </c>
      <c r="H200" s="478" t="s">
        <v>394</v>
      </c>
      <c r="I200" s="181"/>
      <c r="J200" s="182"/>
    </row>
    <row r="201" spans="2:10" ht="46.5" customHeight="1">
      <c r="B201" s="185"/>
      <c r="C201" s="502"/>
      <c r="D201" s="208"/>
      <c r="E201" s="223">
        <f>448800/25.58</f>
        <v>17544.95699765442</v>
      </c>
      <c r="F201" s="531"/>
      <c r="G201" s="533"/>
      <c r="H201" s="480"/>
      <c r="I201" s="181"/>
      <c r="J201" s="182"/>
    </row>
    <row r="202" spans="2:10" ht="18.75" customHeight="1">
      <c r="B202" s="185"/>
      <c r="C202" s="500" t="s">
        <v>432</v>
      </c>
      <c r="D202" s="211"/>
      <c r="E202" s="226">
        <f>11348.15/25.58</f>
        <v>443.6336982017201</v>
      </c>
      <c r="F202" s="235"/>
      <c r="G202" s="214">
        <f>5144.15/25.58</f>
        <v>201.10046911649727</v>
      </c>
      <c r="H202" s="478" t="s">
        <v>394</v>
      </c>
      <c r="I202" s="181"/>
      <c r="J202" s="182"/>
    </row>
    <row r="203" spans="2:10" ht="18.75" customHeight="1">
      <c r="B203" s="185"/>
      <c r="C203" s="501"/>
      <c r="D203" s="211"/>
      <c r="E203" s="226">
        <f>7800/25.58</f>
        <v>304.92572322126665</v>
      </c>
      <c r="F203" s="534"/>
      <c r="G203" s="497">
        <f>7800/25.58</f>
        <v>304.92572322126665</v>
      </c>
      <c r="H203" s="479"/>
      <c r="I203" s="181"/>
      <c r="J203" s="182"/>
    </row>
    <row r="204" spans="2:10" ht="18.75" customHeight="1">
      <c r="B204" s="185"/>
      <c r="C204" s="502"/>
      <c r="D204" s="211"/>
      <c r="E204" s="226">
        <f>6180.52/25.58</f>
        <v>241.61532447224397</v>
      </c>
      <c r="F204" s="535"/>
      <c r="G204" s="499"/>
      <c r="H204" s="480"/>
      <c r="I204" s="181"/>
      <c r="J204" s="182"/>
    </row>
    <row r="205" spans="2:10" ht="15.75">
      <c r="B205" s="185"/>
      <c r="C205" s="500" t="s">
        <v>477</v>
      </c>
      <c r="D205" s="260"/>
      <c r="E205" s="254">
        <f>263310/25.58</f>
        <v>10293.588741204067</v>
      </c>
      <c r="F205" s="534"/>
      <c r="G205" s="497">
        <f>263310/25.58</f>
        <v>10293.588741204067</v>
      </c>
      <c r="H205" s="478" t="s">
        <v>394</v>
      </c>
      <c r="I205" s="181"/>
      <c r="J205" s="182"/>
    </row>
    <row r="206" spans="2:10" ht="15.75">
      <c r="B206" s="185"/>
      <c r="C206" s="501"/>
      <c r="D206" s="211"/>
      <c r="E206" s="226">
        <f>54450/25.58</f>
        <v>2128.616106333073</v>
      </c>
      <c r="F206" s="536"/>
      <c r="G206" s="498"/>
      <c r="H206" s="479"/>
      <c r="I206" s="181"/>
      <c r="J206" s="182"/>
    </row>
    <row r="207" spans="2:10" ht="15.75">
      <c r="B207" s="185"/>
      <c r="C207" s="501"/>
      <c r="D207" s="213"/>
      <c r="E207" s="226">
        <f>307510.2/25.58</f>
        <v>12021.508991399533</v>
      </c>
      <c r="F207" s="536"/>
      <c r="G207" s="498"/>
      <c r="H207" s="479"/>
      <c r="I207" s="181"/>
      <c r="J207" s="182"/>
    </row>
    <row r="208" spans="2:10" ht="15.75">
      <c r="B208" s="185"/>
      <c r="C208" s="501"/>
      <c r="D208" s="211"/>
      <c r="E208" s="226">
        <f>328068.69/25.58</f>
        <v>12825.202892885067</v>
      </c>
      <c r="F208" s="536"/>
      <c r="G208" s="498"/>
      <c r="H208" s="479"/>
      <c r="I208" s="181"/>
      <c r="J208" s="182"/>
    </row>
    <row r="209" spans="2:10" ht="15.75">
      <c r="B209" s="185"/>
      <c r="C209" s="502"/>
      <c r="D209" s="211"/>
      <c r="E209" s="226">
        <f>327907/25.58</f>
        <v>12818.881939014856</v>
      </c>
      <c r="F209" s="535"/>
      <c r="G209" s="499"/>
      <c r="H209" s="480"/>
      <c r="I209" s="181"/>
      <c r="J209" s="182"/>
    </row>
    <row r="210" spans="2:10" ht="25.5" customHeight="1">
      <c r="B210" s="185"/>
      <c r="C210" s="491" t="s">
        <v>478</v>
      </c>
      <c r="D210" s="253"/>
      <c r="E210" s="254">
        <f>114000/25.43</f>
        <v>4482.894219425875</v>
      </c>
      <c r="F210" s="494"/>
      <c r="G210" s="497">
        <f>114000/25.43</f>
        <v>4482.894219425875</v>
      </c>
      <c r="H210" s="478" t="s">
        <v>394</v>
      </c>
      <c r="I210" s="181"/>
      <c r="J210" s="182"/>
    </row>
    <row r="211" spans="2:10" ht="25.5" customHeight="1">
      <c r="B211" s="185"/>
      <c r="C211" s="492"/>
      <c r="D211" s="213"/>
      <c r="E211" s="226">
        <f>126720/25.43</f>
        <v>4983.090837593394</v>
      </c>
      <c r="F211" s="495"/>
      <c r="G211" s="498"/>
      <c r="H211" s="479"/>
      <c r="I211" s="181"/>
      <c r="J211" s="182"/>
    </row>
    <row r="212" spans="2:10" ht="25.5" customHeight="1">
      <c r="B212" s="185"/>
      <c r="C212" s="493"/>
      <c r="D212" s="213"/>
      <c r="E212" s="226">
        <f>146443.32/25.43</f>
        <v>5758.683444750295</v>
      </c>
      <c r="F212" s="496"/>
      <c r="G212" s="499"/>
      <c r="H212" s="480"/>
      <c r="I212" s="181"/>
      <c r="J212" s="182"/>
    </row>
    <row r="213" spans="2:10" ht="23.25" customHeight="1">
      <c r="B213" s="185"/>
      <c r="C213" s="491" t="s">
        <v>433</v>
      </c>
      <c r="D213" s="253"/>
      <c r="E213" s="261">
        <f>729886.5/25.753</f>
        <v>28341.80483827127</v>
      </c>
      <c r="F213" s="494"/>
      <c r="G213" s="497">
        <f>729886.5/25.753</f>
        <v>28341.80483827127</v>
      </c>
      <c r="H213" s="478" t="s">
        <v>394</v>
      </c>
      <c r="I213" s="181"/>
      <c r="J213" s="182"/>
    </row>
    <row r="214" spans="2:10" ht="23.25" customHeight="1">
      <c r="B214" s="185"/>
      <c r="C214" s="492"/>
      <c r="D214" s="213"/>
      <c r="E214" s="262">
        <f>796814.2/25.753</f>
        <v>30940.636042402824</v>
      </c>
      <c r="F214" s="495"/>
      <c r="G214" s="498"/>
      <c r="H214" s="479"/>
      <c r="I214" s="181"/>
      <c r="J214" s="182"/>
    </row>
    <row r="215" spans="2:10" ht="23.25" customHeight="1">
      <c r="B215" s="185"/>
      <c r="C215" s="493"/>
      <c r="D215" s="213"/>
      <c r="E215" s="262">
        <f>1160421.5/25.753</f>
        <v>45059.6629518891</v>
      </c>
      <c r="F215" s="496"/>
      <c r="G215" s="499"/>
      <c r="H215" s="480"/>
      <c r="I215" s="181"/>
      <c r="J215" s="182"/>
    </row>
    <row r="216" spans="2:10" ht="21" customHeight="1">
      <c r="B216" s="185"/>
      <c r="C216" s="491" t="s">
        <v>434</v>
      </c>
      <c r="D216" s="213"/>
      <c r="E216" s="254">
        <f>10425/25.73</f>
        <v>405.1690633501749</v>
      </c>
      <c r="F216" s="494"/>
      <c r="G216" s="497">
        <f>10425/25.73</f>
        <v>405.1690633501749</v>
      </c>
      <c r="H216" s="478" t="s">
        <v>394</v>
      </c>
      <c r="I216" s="181"/>
      <c r="J216" s="182"/>
    </row>
    <row r="217" spans="2:10" ht="21" customHeight="1">
      <c r="B217" s="185"/>
      <c r="C217" s="492"/>
      <c r="D217" s="213"/>
      <c r="E217" s="226">
        <f>16430/25.73</f>
        <v>638.5542168674699</v>
      </c>
      <c r="F217" s="495"/>
      <c r="G217" s="498"/>
      <c r="H217" s="479"/>
      <c r="I217" s="181"/>
      <c r="J217" s="182"/>
    </row>
    <row r="218" spans="2:10" ht="21" customHeight="1">
      <c r="B218" s="185"/>
      <c r="C218" s="492"/>
      <c r="D218" s="213"/>
      <c r="E218" s="226">
        <f>12180.05/25.73</f>
        <v>473.37932374659925</v>
      </c>
      <c r="F218" s="495"/>
      <c r="G218" s="498"/>
      <c r="H218" s="479"/>
      <c r="I218" s="181"/>
      <c r="J218" s="182"/>
    </row>
    <row r="219" spans="2:10" ht="21" customHeight="1">
      <c r="B219" s="185"/>
      <c r="C219" s="492"/>
      <c r="D219" s="213"/>
      <c r="E219" s="226">
        <f>9480.19/25.73</f>
        <v>368.4488923435678</v>
      </c>
      <c r="F219" s="495"/>
      <c r="G219" s="498"/>
      <c r="H219" s="479"/>
      <c r="I219" s="181"/>
      <c r="J219" s="182"/>
    </row>
    <row r="220" spans="2:10" ht="21" customHeight="1">
      <c r="B220" s="185"/>
      <c r="C220" s="493"/>
      <c r="D220" s="213"/>
      <c r="E220" s="226">
        <f>9507/25.73</f>
        <v>369.49086669257673</v>
      </c>
      <c r="F220" s="496"/>
      <c r="G220" s="499"/>
      <c r="H220" s="480"/>
      <c r="I220" s="181"/>
      <c r="J220" s="182"/>
    </row>
    <row r="221" spans="2:10" ht="18.75" customHeight="1">
      <c r="B221" s="185"/>
      <c r="C221" s="492" t="s">
        <v>435</v>
      </c>
      <c r="D221" s="253"/>
      <c r="E221" s="254">
        <f>37440/25.92</f>
        <v>1444.4444444444443</v>
      </c>
      <c r="F221" s="495"/>
      <c r="G221" s="498">
        <f>37440/25.92</f>
        <v>1444.4444444444443</v>
      </c>
      <c r="H221" s="480" t="s">
        <v>394</v>
      </c>
      <c r="I221" s="181"/>
      <c r="J221" s="182"/>
    </row>
    <row r="222" spans="2:10" ht="18.75" customHeight="1">
      <c r="B222" s="185"/>
      <c r="C222" s="492"/>
      <c r="D222" s="213"/>
      <c r="E222" s="226">
        <f>10744.2/25.92</f>
        <v>414.5138888888889</v>
      </c>
      <c r="F222" s="495"/>
      <c r="G222" s="498"/>
      <c r="H222" s="489"/>
      <c r="I222" s="181"/>
      <c r="J222" s="182"/>
    </row>
    <row r="223" spans="2:10" ht="18.75" customHeight="1">
      <c r="B223" s="185"/>
      <c r="C223" s="492"/>
      <c r="D223" s="213"/>
      <c r="E223" s="226">
        <f>30080.88/25.92</f>
        <v>1160.5277777777778</v>
      </c>
      <c r="F223" s="495"/>
      <c r="G223" s="498"/>
      <c r="H223" s="489"/>
      <c r="I223" s="181"/>
      <c r="J223" s="182"/>
    </row>
    <row r="224" spans="2:10" ht="18.75" customHeight="1">
      <c r="B224" s="185"/>
      <c r="C224" s="493"/>
      <c r="D224" s="213"/>
      <c r="E224" s="226">
        <f>769.86/25.92</f>
        <v>29.701388888888886</v>
      </c>
      <c r="F224" s="496"/>
      <c r="G224" s="499"/>
      <c r="H224" s="489"/>
      <c r="I224" s="181"/>
      <c r="J224" s="182"/>
    </row>
    <row r="225" spans="2:10" ht="9.75" customHeight="1">
      <c r="B225" s="185"/>
      <c r="C225" s="537"/>
      <c r="D225" s="538"/>
      <c r="E225" s="538"/>
      <c r="F225" s="538"/>
      <c r="G225" s="538"/>
      <c r="H225" s="539"/>
      <c r="I225" s="181"/>
      <c r="J225" s="182"/>
    </row>
    <row r="226" spans="2:10" ht="9.75" customHeight="1">
      <c r="B226" s="185"/>
      <c r="C226" s="526"/>
      <c r="D226" s="527"/>
      <c r="E226" s="527"/>
      <c r="F226" s="527"/>
      <c r="G226" s="527"/>
      <c r="H226" s="528"/>
      <c r="I226" s="181"/>
      <c r="J226" s="182"/>
    </row>
    <row r="227" spans="2:10" ht="15">
      <c r="B227" s="185"/>
      <c r="C227" s="482" t="s">
        <v>392</v>
      </c>
      <c r="D227" s="483"/>
      <c r="E227" s="483"/>
      <c r="F227" s="483"/>
      <c r="G227" s="483"/>
      <c r="H227" s="484"/>
      <c r="I227" s="181"/>
      <c r="J227" s="182"/>
    </row>
    <row r="228" spans="2:10" ht="15.75">
      <c r="B228" s="185"/>
      <c r="C228" s="510" t="s">
        <v>393</v>
      </c>
      <c r="D228" s="263"/>
      <c r="E228" s="264">
        <f>78362/24.723</f>
        <v>3169.5991586781543</v>
      </c>
      <c r="F228" s="512"/>
      <c r="G228" s="541">
        <f>5997/24.723</f>
        <v>242.5676495570926</v>
      </c>
      <c r="H228" s="478" t="s">
        <v>401</v>
      </c>
      <c r="I228" s="181"/>
      <c r="J228" s="182"/>
    </row>
    <row r="229" spans="2:10" ht="15.75">
      <c r="B229" s="185"/>
      <c r="C229" s="511"/>
      <c r="D229" s="263"/>
      <c r="E229" s="264">
        <f>109019.7/24.723</f>
        <v>4409.646887513652</v>
      </c>
      <c r="F229" s="513"/>
      <c r="G229" s="542"/>
      <c r="H229" s="479"/>
      <c r="I229" s="181"/>
      <c r="J229" s="182"/>
    </row>
    <row r="230" spans="2:10" ht="15.75">
      <c r="B230" s="185"/>
      <c r="C230" s="511"/>
      <c r="D230" s="263"/>
      <c r="E230" s="264">
        <f>93480/24.723</f>
        <v>3781.094527363184</v>
      </c>
      <c r="F230" s="512"/>
      <c r="G230" s="541">
        <f>19800/24.723</f>
        <v>800.8736803785948</v>
      </c>
      <c r="H230" s="479"/>
      <c r="I230" s="181"/>
      <c r="J230" s="182"/>
    </row>
    <row r="231" spans="2:10" ht="15.75">
      <c r="B231" s="185"/>
      <c r="C231" s="511"/>
      <c r="D231" s="263"/>
      <c r="E231" s="264">
        <f>45753.29/24.723</f>
        <v>1850.6366541277355</v>
      </c>
      <c r="F231" s="517"/>
      <c r="G231" s="543"/>
      <c r="H231" s="479"/>
      <c r="I231" s="181"/>
      <c r="J231" s="182"/>
    </row>
    <row r="232" spans="2:10" ht="15.75">
      <c r="B232" s="185"/>
      <c r="C232" s="511"/>
      <c r="D232" s="263"/>
      <c r="E232" s="264">
        <f>41306.73/24.723</f>
        <v>1670.7814585608544</v>
      </c>
      <c r="F232" s="513"/>
      <c r="G232" s="542"/>
      <c r="H232" s="479"/>
      <c r="I232" s="181"/>
      <c r="J232" s="182"/>
    </row>
    <row r="233" spans="2:10" ht="15.75">
      <c r="B233" s="185"/>
      <c r="C233" s="511"/>
      <c r="D233" s="263"/>
      <c r="E233" s="264">
        <f>103945.28/24.723</f>
        <v>4204.395906645634</v>
      </c>
      <c r="F233" s="512"/>
      <c r="G233" s="541">
        <f>58831.04/24.723</f>
        <v>2379.607652792946</v>
      </c>
      <c r="H233" s="479"/>
      <c r="I233" s="181"/>
      <c r="J233" s="182"/>
    </row>
    <row r="234" spans="2:10" ht="15.75">
      <c r="B234" s="185"/>
      <c r="C234" s="540"/>
      <c r="D234" s="263"/>
      <c r="E234" s="264">
        <f>86212.5/24.723</f>
        <v>3487.1374833151317</v>
      </c>
      <c r="F234" s="513"/>
      <c r="G234" s="542"/>
      <c r="H234" s="480"/>
      <c r="I234" s="181"/>
      <c r="J234" s="182"/>
    </row>
    <row r="235" spans="2:10" ht="33.75" customHeight="1">
      <c r="B235" s="185"/>
      <c r="C235" s="503" t="s">
        <v>457</v>
      </c>
      <c r="D235" s="203"/>
      <c r="E235" s="264">
        <f>33457.46/24.98</f>
        <v>1339.3698959167334</v>
      </c>
      <c r="F235" s="504"/>
      <c r="G235" s="505">
        <f>33457.46/24.98</f>
        <v>1339.3698959167334</v>
      </c>
      <c r="H235" s="478" t="s">
        <v>394</v>
      </c>
      <c r="I235" s="181"/>
      <c r="J235" s="182"/>
    </row>
    <row r="236" spans="2:10" ht="33.75" customHeight="1">
      <c r="B236" s="185"/>
      <c r="C236" s="503"/>
      <c r="D236" s="203"/>
      <c r="E236" s="264">
        <f>34349.25/24.98</f>
        <v>1375.0700560448358</v>
      </c>
      <c r="F236" s="504"/>
      <c r="G236" s="506"/>
      <c r="H236" s="479"/>
      <c r="I236" s="181"/>
      <c r="J236" s="182"/>
    </row>
    <row r="237" spans="2:10" ht="33.75" customHeight="1">
      <c r="B237" s="185"/>
      <c r="C237" s="503"/>
      <c r="D237" s="265"/>
      <c r="E237" s="264">
        <f>25229.8/24.98</f>
        <v>1010</v>
      </c>
      <c r="F237" s="504"/>
      <c r="G237" s="507"/>
      <c r="H237" s="479"/>
      <c r="I237" s="181"/>
      <c r="J237" s="182"/>
    </row>
    <row r="238" spans="2:10" ht="33.75" customHeight="1">
      <c r="B238" s="185"/>
      <c r="C238" s="503"/>
      <c r="D238" s="265"/>
      <c r="E238" s="264">
        <f>15430/24.98</f>
        <v>617.6941553242594</v>
      </c>
      <c r="F238" s="504"/>
      <c r="G238" s="505">
        <f>34349.25/24.98</f>
        <v>1375.0700560448358</v>
      </c>
      <c r="H238" s="479"/>
      <c r="I238" s="181"/>
      <c r="J238" s="182"/>
    </row>
    <row r="239" spans="2:10" ht="33.75" customHeight="1">
      <c r="B239" s="185"/>
      <c r="C239" s="503"/>
      <c r="D239" s="265"/>
      <c r="E239" s="264">
        <f>11052.8/24.98</f>
        <v>442.4659727782225</v>
      </c>
      <c r="F239" s="504"/>
      <c r="G239" s="507"/>
      <c r="H239" s="480"/>
      <c r="I239" s="181"/>
      <c r="J239" s="182"/>
    </row>
    <row r="240" spans="2:10" ht="33.75" customHeight="1">
      <c r="B240" s="185"/>
      <c r="C240" s="510" t="s">
        <v>458</v>
      </c>
      <c r="D240" s="203"/>
      <c r="E240" s="264">
        <v>603.0624499599679</v>
      </c>
      <c r="F240" s="309"/>
      <c r="G240" s="266">
        <v>603.0624499599679</v>
      </c>
      <c r="H240" s="489" t="s">
        <v>401</v>
      </c>
      <c r="I240" s="181"/>
      <c r="J240" s="182"/>
    </row>
    <row r="241" spans="2:10" ht="33.75" customHeight="1">
      <c r="B241" s="185"/>
      <c r="C241" s="511"/>
      <c r="D241" s="203"/>
      <c r="E241" s="264">
        <v>244.63290632506005</v>
      </c>
      <c r="F241" s="512"/>
      <c r="G241" s="505">
        <v>244.63290632506005</v>
      </c>
      <c r="H241" s="489"/>
      <c r="I241" s="181"/>
      <c r="J241" s="182"/>
    </row>
    <row r="242" spans="2:10" ht="33.75" customHeight="1">
      <c r="B242" s="185"/>
      <c r="C242" s="540"/>
      <c r="D242" s="203"/>
      <c r="E242" s="264">
        <f>12344.58/24.98</f>
        <v>494.1785428342674</v>
      </c>
      <c r="F242" s="513"/>
      <c r="G242" s="507"/>
      <c r="H242" s="489"/>
      <c r="I242" s="181"/>
      <c r="J242" s="182"/>
    </row>
    <row r="243" spans="2:10" ht="51.75" customHeight="1">
      <c r="B243" s="185"/>
      <c r="C243" s="218" t="s">
        <v>436</v>
      </c>
      <c r="D243" s="220"/>
      <c r="E243" s="264">
        <v>2393.2987634623055</v>
      </c>
      <c r="F243" s="309"/>
      <c r="G243" s="221">
        <v>2393.2987634623055</v>
      </c>
      <c r="H243" s="267" t="s">
        <v>395</v>
      </c>
      <c r="I243" s="181"/>
      <c r="J243" s="182"/>
    </row>
    <row r="244" spans="2:10" ht="15" customHeight="1">
      <c r="B244" s="185"/>
      <c r="C244" s="503" t="s">
        <v>479</v>
      </c>
      <c r="D244" s="203"/>
      <c r="E244" s="264">
        <v>196.15521327014216</v>
      </c>
      <c r="F244" s="309"/>
      <c r="G244" s="221">
        <v>196.15521327014216</v>
      </c>
      <c r="H244" s="489" t="s">
        <v>401</v>
      </c>
      <c r="I244" s="181"/>
      <c r="J244" s="182"/>
    </row>
    <row r="245" spans="2:10" ht="15.75">
      <c r="B245" s="185"/>
      <c r="C245" s="503"/>
      <c r="D245" s="203"/>
      <c r="E245" s="264">
        <v>161.37796208530807</v>
      </c>
      <c r="F245" s="504"/>
      <c r="G245" s="505">
        <v>161.37796208530807</v>
      </c>
      <c r="H245" s="489"/>
      <c r="I245" s="181"/>
      <c r="J245" s="182"/>
    </row>
    <row r="246" spans="2:10" ht="15.75">
      <c r="B246" s="185"/>
      <c r="C246" s="503"/>
      <c r="D246" s="203"/>
      <c r="E246" s="264">
        <f>12441.14/25.32</f>
        <v>491.35624012638226</v>
      </c>
      <c r="F246" s="504"/>
      <c r="G246" s="507"/>
      <c r="H246" s="489"/>
      <c r="I246" s="181"/>
      <c r="J246" s="182"/>
    </row>
    <row r="247" spans="2:10" ht="22.5" customHeight="1">
      <c r="B247" s="185"/>
      <c r="C247" s="485" t="s">
        <v>437</v>
      </c>
      <c r="D247" s="208"/>
      <c r="E247" s="223">
        <f>26429.97/25.58</f>
        <v>1033.2279124315874</v>
      </c>
      <c r="F247" s="476"/>
      <c r="G247" s="519">
        <f>2712.9/25.58</f>
        <v>106.05551211884286</v>
      </c>
      <c r="H247" s="547" t="s">
        <v>401</v>
      </c>
      <c r="I247" s="181"/>
      <c r="J247" s="182"/>
    </row>
    <row r="248" spans="2:10" ht="22.5" customHeight="1">
      <c r="B248" s="185"/>
      <c r="C248" s="485"/>
      <c r="D248" s="208"/>
      <c r="E248" s="223">
        <f>23573.84/25.58</f>
        <v>921.5731039874903</v>
      </c>
      <c r="F248" s="476"/>
      <c r="G248" s="519"/>
      <c r="H248" s="547"/>
      <c r="I248" s="181"/>
      <c r="J248" s="182"/>
    </row>
    <row r="249" spans="2:10" ht="22.5" customHeight="1">
      <c r="B249" s="185"/>
      <c r="C249" s="485"/>
      <c r="D249" s="208"/>
      <c r="E249" s="223">
        <f>37670.7/25.58</f>
        <v>1472.6622361219702</v>
      </c>
      <c r="F249" s="233"/>
      <c r="G249" s="207">
        <f>5255.93/25.58</f>
        <v>205.47028928850668</v>
      </c>
      <c r="H249" s="547"/>
      <c r="I249" s="181"/>
      <c r="J249" s="182"/>
    </row>
    <row r="250" spans="2:10" ht="15.75">
      <c r="B250" s="185"/>
      <c r="C250" s="500" t="s">
        <v>438</v>
      </c>
      <c r="D250" s="208"/>
      <c r="E250" s="223">
        <f>23809.7/25.58</f>
        <v>930.7935887412042</v>
      </c>
      <c r="F250" s="476"/>
      <c r="G250" s="519">
        <f>5778.45/25.58</f>
        <v>225.89718530101644</v>
      </c>
      <c r="H250" s="547" t="s">
        <v>401</v>
      </c>
      <c r="I250" s="181"/>
      <c r="J250" s="182"/>
    </row>
    <row r="251" spans="2:10" ht="15.75">
      <c r="B251" s="185"/>
      <c r="C251" s="501"/>
      <c r="D251" s="208"/>
      <c r="E251" s="223">
        <f>20897.45/25.58</f>
        <v>816.9448788115716</v>
      </c>
      <c r="F251" s="476"/>
      <c r="G251" s="519"/>
      <c r="H251" s="547"/>
      <c r="I251" s="181"/>
      <c r="J251" s="182"/>
    </row>
    <row r="252" spans="2:10" ht="15.75">
      <c r="B252" s="185"/>
      <c r="C252" s="501"/>
      <c r="D252" s="208"/>
      <c r="E252" s="223">
        <f>30135/25.58</f>
        <v>1178.0688037529321</v>
      </c>
      <c r="F252" s="476"/>
      <c r="G252" s="519">
        <f>7643.79/25.58</f>
        <v>298.8189992181392</v>
      </c>
      <c r="H252" s="547"/>
      <c r="I252" s="181"/>
      <c r="J252" s="182"/>
    </row>
    <row r="253" spans="2:10" ht="15.75">
      <c r="B253" s="185"/>
      <c r="C253" s="502"/>
      <c r="D253" s="208"/>
      <c r="E253" s="223">
        <f>67591/25.58</f>
        <v>2642.33776387803</v>
      </c>
      <c r="F253" s="476"/>
      <c r="G253" s="519"/>
      <c r="H253" s="547"/>
      <c r="I253" s="181"/>
      <c r="J253" s="182"/>
    </row>
    <row r="254" spans="2:10" ht="15.75">
      <c r="B254" s="185"/>
      <c r="C254" s="485" t="s">
        <v>459</v>
      </c>
      <c r="D254" s="208"/>
      <c r="E254" s="224">
        <f>36457.2/25.58</f>
        <v>1425.2228303362</v>
      </c>
      <c r="F254" s="233"/>
      <c r="G254" s="307">
        <f>8067.71/25.58</f>
        <v>315.39132134480064</v>
      </c>
      <c r="H254" s="544" t="s">
        <v>401</v>
      </c>
      <c r="I254" s="181"/>
      <c r="J254" s="182"/>
    </row>
    <row r="255" spans="2:10" ht="15.75">
      <c r="B255" s="185"/>
      <c r="C255" s="485"/>
      <c r="D255" s="225"/>
      <c r="E255" s="224">
        <f>34782.94/25.58</f>
        <v>1359.7709147771698</v>
      </c>
      <c r="F255" s="268"/>
      <c r="G255" s="307">
        <f>12200.42/25.58</f>
        <v>476.95152462861614</v>
      </c>
      <c r="H255" s="545"/>
      <c r="I255" s="181"/>
      <c r="J255" s="182"/>
    </row>
    <row r="256" spans="2:10" ht="15.75">
      <c r="B256" s="185"/>
      <c r="C256" s="485"/>
      <c r="D256" s="225"/>
      <c r="E256" s="224">
        <f>38687.26/25.58</f>
        <v>1512.402658326818</v>
      </c>
      <c r="F256" s="268"/>
      <c r="G256" s="307">
        <f>12051.48/25.58</f>
        <v>471.12900703674745</v>
      </c>
      <c r="H256" s="545"/>
      <c r="I256" s="181"/>
      <c r="J256" s="182"/>
    </row>
    <row r="257" spans="2:10" ht="15.75">
      <c r="B257" s="185"/>
      <c r="C257" s="485"/>
      <c r="D257" s="225"/>
      <c r="E257" s="224">
        <f>42319.77/25.58</f>
        <v>1654.4085222830336</v>
      </c>
      <c r="F257" s="268"/>
      <c r="G257" s="307">
        <f>5067.8/25.58</f>
        <v>198.11571540265834</v>
      </c>
      <c r="H257" s="546"/>
      <c r="I257" s="181"/>
      <c r="J257" s="182"/>
    </row>
    <row r="258" spans="2:10" ht="15.75">
      <c r="B258" s="185"/>
      <c r="C258" s="500" t="s">
        <v>439</v>
      </c>
      <c r="D258" s="225"/>
      <c r="E258" s="223">
        <f>47880/25.58</f>
        <v>1871.7748240813137</v>
      </c>
      <c r="F258" s="548"/>
      <c r="G258" s="532">
        <f>47880/25.58</f>
        <v>1871.7748240813137</v>
      </c>
      <c r="H258" s="544" t="s">
        <v>394</v>
      </c>
      <c r="I258" s="181"/>
      <c r="J258" s="182"/>
    </row>
    <row r="259" spans="2:10" ht="15.75">
      <c r="B259" s="185"/>
      <c r="C259" s="501"/>
      <c r="D259" s="206"/>
      <c r="E259" s="223">
        <f>51600/25.58</f>
        <v>2017.2009382329948</v>
      </c>
      <c r="F259" s="549"/>
      <c r="G259" s="551"/>
      <c r="H259" s="545"/>
      <c r="I259" s="181"/>
      <c r="J259" s="182"/>
    </row>
    <row r="260" spans="2:10" ht="15.75">
      <c r="B260" s="185"/>
      <c r="C260" s="501"/>
      <c r="D260" s="225"/>
      <c r="E260" s="223">
        <f>30720/25.58</f>
        <v>1200.938232994527</v>
      </c>
      <c r="F260" s="549"/>
      <c r="G260" s="551"/>
      <c r="H260" s="545"/>
      <c r="I260" s="181"/>
      <c r="J260" s="182"/>
    </row>
    <row r="261" spans="2:10" ht="15.75">
      <c r="B261" s="185"/>
      <c r="C261" s="501"/>
      <c r="D261" s="225"/>
      <c r="E261" s="223">
        <f>37836.5/25.58</f>
        <v>1479.1438623924942</v>
      </c>
      <c r="F261" s="549"/>
      <c r="G261" s="551"/>
      <c r="H261" s="545"/>
      <c r="I261" s="181"/>
      <c r="J261" s="182"/>
    </row>
    <row r="262" spans="2:10" ht="15.75">
      <c r="B262" s="185"/>
      <c r="C262" s="502"/>
      <c r="D262" s="225"/>
      <c r="E262" s="223">
        <f>52256.4/25.58</f>
        <v>2042.8616106333075</v>
      </c>
      <c r="F262" s="550"/>
      <c r="G262" s="533"/>
      <c r="H262" s="546"/>
      <c r="I262" s="181"/>
      <c r="J262" s="182"/>
    </row>
    <row r="263" spans="2:10" ht="15.75" customHeight="1">
      <c r="B263" s="185"/>
      <c r="C263" s="500" t="s">
        <v>460</v>
      </c>
      <c r="D263" s="206"/>
      <c r="E263" s="223">
        <f>2184/25.58</f>
        <v>85.37920250195465</v>
      </c>
      <c r="F263" s="232"/>
      <c r="G263" s="207">
        <f>2184/25.58</f>
        <v>85.37920250195465</v>
      </c>
      <c r="H263" s="478" t="s">
        <v>401</v>
      </c>
      <c r="I263" s="181"/>
      <c r="J263" s="182"/>
    </row>
    <row r="264" spans="2:10" ht="15.75">
      <c r="B264" s="185"/>
      <c r="C264" s="501"/>
      <c r="D264" s="206"/>
      <c r="E264" s="223">
        <f>39999.82/25.58</f>
        <v>1563.7146207974981</v>
      </c>
      <c r="F264" s="232"/>
      <c r="G264" s="207">
        <f>39999.82/25.58</f>
        <v>1563.7146207974981</v>
      </c>
      <c r="H264" s="479"/>
      <c r="I264" s="181"/>
      <c r="J264" s="182"/>
    </row>
    <row r="265" spans="2:10" ht="15.75">
      <c r="B265" s="185"/>
      <c r="C265" s="501"/>
      <c r="D265" s="206"/>
      <c r="E265" s="223">
        <f>13500/25.58</f>
        <v>527.7560594214231</v>
      </c>
      <c r="F265" s="232"/>
      <c r="G265" s="207">
        <f>9600/25.58</f>
        <v>375.2931978107897</v>
      </c>
      <c r="H265" s="479"/>
      <c r="I265" s="181"/>
      <c r="J265" s="182"/>
    </row>
    <row r="266" spans="2:10" ht="15.75">
      <c r="B266" s="185"/>
      <c r="C266" s="501"/>
      <c r="D266" s="206"/>
      <c r="E266" s="223">
        <f>52282.14/25.58</f>
        <v>2043.8678655199376</v>
      </c>
      <c r="F266" s="491"/>
      <c r="G266" s="532">
        <f>32213.5/25.58</f>
        <v>1259.3236903831119</v>
      </c>
      <c r="H266" s="479"/>
      <c r="I266" s="181"/>
      <c r="J266" s="182"/>
    </row>
    <row r="267" spans="2:10" ht="15.75">
      <c r="B267" s="185"/>
      <c r="C267" s="502"/>
      <c r="D267" s="206"/>
      <c r="E267" s="223">
        <f>111427.56/25.58</f>
        <v>4356.042220484754</v>
      </c>
      <c r="F267" s="493"/>
      <c r="G267" s="533"/>
      <c r="H267" s="480"/>
      <c r="I267" s="181"/>
      <c r="J267" s="182"/>
    </row>
    <row r="268" spans="2:10" ht="27" customHeight="1">
      <c r="B268" s="185"/>
      <c r="C268" s="500" t="s">
        <v>461</v>
      </c>
      <c r="D268" s="211"/>
      <c r="E268" s="226">
        <f>6169.93/25.43</f>
        <v>242.6240660637043</v>
      </c>
      <c r="F268" s="534"/>
      <c r="G268" s="497">
        <f>6169.93/25.43</f>
        <v>242.6240660637043</v>
      </c>
      <c r="H268" s="544" t="s">
        <v>394</v>
      </c>
      <c r="I268" s="181"/>
      <c r="J268" s="182"/>
    </row>
    <row r="269" spans="2:10" ht="27" customHeight="1">
      <c r="B269" s="185"/>
      <c r="C269" s="501"/>
      <c r="D269" s="211"/>
      <c r="E269" s="226">
        <f>11580/25.43</f>
        <v>455.3676759732599</v>
      </c>
      <c r="F269" s="536"/>
      <c r="G269" s="498"/>
      <c r="H269" s="545"/>
      <c r="I269" s="181"/>
      <c r="J269" s="182"/>
    </row>
    <row r="270" spans="2:10" ht="34.5" customHeight="1">
      <c r="B270" s="185"/>
      <c r="C270" s="502"/>
      <c r="D270" s="211"/>
      <c r="E270" s="226">
        <f>9564/25.43</f>
        <v>376.09123082972866</v>
      </c>
      <c r="F270" s="535"/>
      <c r="G270" s="499"/>
      <c r="H270" s="546"/>
      <c r="I270" s="181"/>
      <c r="J270" s="182"/>
    </row>
    <row r="271" spans="2:10" ht="31.5" customHeight="1">
      <c r="B271" s="185"/>
      <c r="C271" s="500" t="s">
        <v>440</v>
      </c>
      <c r="D271" s="227"/>
      <c r="E271" s="226">
        <f>214000/25.58</f>
        <v>8365.910867865521</v>
      </c>
      <c r="F271" s="552"/>
      <c r="G271" s="497">
        <f>214000/25.58</f>
        <v>8365.910867865521</v>
      </c>
      <c r="H271" s="544" t="s">
        <v>402</v>
      </c>
      <c r="I271" s="181"/>
      <c r="J271" s="182"/>
    </row>
    <row r="272" spans="2:10" ht="31.5" customHeight="1">
      <c r="B272" s="185"/>
      <c r="C272" s="501"/>
      <c r="D272" s="227"/>
      <c r="E272" s="226">
        <f>214000/25.58</f>
        <v>8365.910867865521</v>
      </c>
      <c r="F272" s="553"/>
      <c r="G272" s="498"/>
      <c r="H272" s="545"/>
      <c r="I272" s="181"/>
      <c r="J272" s="182"/>
    </row>
    <row r="273" spans="2:10" ht="31.5" customHeight="1">
      <c r="B273" s="185"/>
      <c r="C273" s="502"/>
      <c r="D273" s="227"/>
      <c r="E273" s="226">
        <f>214000/25.58</f>
        <v>8365.910867865521</v>
      </c>
      <c r="F273" s="554"/>
      <c r="G273" s="499"/>
      <c r="H273" s="546"/>
      <c r="I273" s="181"/>
      <c r="J273" s="182"/>
    </row>
    <row r="274" spans="2:10" ht="15">
      <c r="B274" s="185"/>
      <c r="C274" s="463"/>
      <c r="D274" s="464"/>
      <c r="E274" s="464"/>
      <c r="F274" s="464"/>
      <c r="G274" s="464"/>
      <c r="H274" s="529"/>
      <c r="I274" s="181"/>
      <c r="J274" s="182"/>
    </row>
    <row r="275" spans="2:10" ht="15">
      <c r="B275" s="185"/>
      <c r="C275" s="526"/>
      <c r="D275" s="527"/>
      <c r="E275" s="527"/>
      <c r="F275" s="527"/>
      <c r="G275" s="527"/>
      <c r="H275" s="528"/>
      <c r="I275" s="181"/>
      <c r="J275" s="182"/>
    </row>
    <row r="276" spans="2:10" ht="15.75" thickBot="1">
      <c r="B276" s="269"/>
      <c r="C276" s="270"/>
      <c r="D276" s="270"/>
      <c r="E276" s="271"/>
      <c r="F276" s="146"/>
      <c r="G276" s="271"/>
      <c r="H276" s="271"/>
      <c r="I276" s="271"/>
      <c r="J276" s="272"/>
    </row>
  </sheetData>
  <sheetProtection/>
  <mergeCells count="224">
    <mergeCell ref="C274:H275"/>
    <mergeCell ref="C263:C267"/>
    <mergeCell ref="H263:H267"/>
    <mergeCell ref="F266:F267"/>
    <mergeCell ref="G266:G267"/>
    <mergeCell ref="C268:C270"/>
    <mergeCell ref="G258:G262"/>
    <mergeCell ref="H258:H262"/>
    <mergeCell ref="C271:C273"/>
    <mergeCell ref="F271:F273"/>
    <mergeCell ref="G271:G273"/>
    <mergeCell ref="H271:H273"/>
    <mergeCell ref="C258:C262"/>
    <mergeCell ref="G247:G248"/>
    <mergeCell ref="H247:H249"/>
    <mergeCell ref="F268:F270"/>
    <mergeCell ref="G268:G270"/>
    <mergeCell ref="H268:H270"/>
    <mergeCell ref="G250:G251"/>
    <mergeCell ref="H250:H253"/>
    <mergeCell ref="F252:F253"/>
    <mergeCell ref="G252:G253"/>
    <mergeCell ref="F258:F262"/>
    <mergeCell ref="C240:C242"/>
    <mergeCell ref="H240:H242"/>
    <mergeCell ref="F241:F242"/>
    <mergeCell ref="G241:G242"/>
    <mergeCell ref="C254:C257"/>
    <mergeCell ref="H254:H257"/>
    <mergeCell ref="F245:F246"/>
    <mergeCell ref="G245:G246"/>
    <mergeCell ref="C247:C249"/>
    <mergeCell ref="F247:F248"/>
    <mergeCell ref="C225:H226"/>
    <mergeCell ref="C227:H227"/>
    <mergeCell ref="C228:C234"/>
    <mergeCell ref="F228:F229"/>
    <mergeCell ref="G228:G229"/>
    <mergeCell ref="H228:H234"/>
    <mergeCell ref="F230:F232"/>
    <mergeCell ref="G230:G232"/>
    <mergeCell ref="F233:F234"/>
    <mergeCell ref="G233:G234"/>
    <mergeCell ref="G216:G220"/>
    <mergeCell ref="H216:H220"/>
    <mergeCell ref="C221:C224"/>
    <mergeCell ref="F221:F224"/>
    <mergeCell ref="G221:G224"/>
    <mergeCell ref="H221:H224"/>
    <mergeCell ref="C216:C220"/>
    <mergeCell ref="F216:F220"/>
    <mergeCell ref="C210:C212"/>
    <mergeCell ref="F210:F212"/>
    <mergeCell ref="G210:G212"/>
    <mergeCell ref="H210:H212"/>
    <mergeCell ref="C213:C215"/>
    <mergeCell ref="F213:F215"/>
    <mergeCell ref="G213:G215"/>
    <mergeCell ref="H213:H215"/>
    <mergeCell ref="C202:C204"/>
    <mergeCell ref="H202:H204"/>
    <mergeCell ref="F203:F204"/>
    <mergeCell ref="G203:G204"/>
    <mergeCell ref="C205:C209"/>
    <mergeCell ref="F205:F209"/>
    <mergeCell ref="G205:G209"/>
    <mergeCell ref="H205:H209"/>
    <mergeCell ref="C196:H197"/>
    <mergeCell ref="C198:H198"/>
    <mergeCell ref="C200:C201"/>
    <mergeCell ref="F200:F201"/>
    <mergeCell ref="G200:G201"/>
    <mergeCell ref="H200:H201"/>
    <mergeCell ref="H183:H187"/>
    <mergeCell ref="C188:C195"/>
    <mergeCell ref="F188:F189"/>
    <mergeCell ref="G188:G189"/>
    <mergeCell ref="H188:H195"/>
    <mergeCell ref="F190:F191"/>
    <mergeCell ref="G190:G191"/>
    <mergeCell ref="F192:F193"/>
    <mergeCell ref="G192:G193"/>
    <mergeCell ref="F194:F195"/>
    <mergeCell ref="C172:C174"/>
    <mergeCell ref="F172:F174"/>
    <mergeCell ref="G172:G174"/>
    <mergeCell ref="H172:H174"/>
    <mergeCell ref="C175:C179"/>
    <mergeCell ref="F175:F176"/>
    <mergeCell ref="G175:G176"/>
    <mergeCell ref="H175:H179"/>
    <mergeCell ref="F178:F179"/>
    <mergeCell ref="G178:G179"/>
    <mergeCell ref="C165:H165"/>
    <mergeCell ref="C166:H166"/>
    <mergeCell ref="C167:C171"/>
    <mergeCell ref="F167:F168"/>
    <mergeCell ref="G167:G168"/>
    <mergeCell ref="H167:H171"/>
    <mergeCell ref="F169:F171"/>
    <mergeCell ref="G169:G171"/>
    <mergeCell ref="C161:C164"/>
    <mergeCell ref="F161:F162"/>
    <mergeCell ref="G161:G162"/>
    <mergeCell ref="H161:H164"/>
    <mergeCell ref="F163:F164"/>
    <mergeCell ref="G163:G164"/>
    <mergeCell ref="G144:G148"/>
    <mergeCell ref="H144:H154"/>
    <mergeCell ref="F149:F154"/>
    <mergeCell ref="G149:G154"/>
    <mergeCell ref="G155:G156"/>
    <mergeCell ref="H155:H160"/>
    <mergeCell ref="F157:F158"/>
    <mergeCell ref="G157:G158"/>
    <mergeCell ref="F159:F160"/>
    <mergeCell ref="G159:G160"/>
    <mergeCell ref="C123:C127"/>
    <mergeCell ref="F123:F124"/>
    <mergeCell ref="G123:G124"/>
    <mergeCell ref="H123:H127"/>
    <mergeCell ref="F125:F127"/>
    <mergeCell ref="G125:G127"/>
    <mergeCell ref="C115:C122"/>
    <mergeCell ref="F115:F118"/>
    <mergeCell ref="G115:G118"/>
    <mergeCell ref="H115:H122"/>
    <mergeCell ref="F119:F122"/>
    <mergeCell ref="G119:G122"/>
    <mergeCell ref="H99:H105"/>
    <mergeCell ref="C106:C114"/>
    <mergeCell ref="F106:F109"/>
    <mergeCell ref="G106:G109"/>
    <mergeCell ref="H106:H114"/>
    <mergeCell ref="F110:F114"/>
    <mergeCell ref="G110:G114"/>
    <mergeCell ref="F96:F97"/>
    <mergeCell ref="G96:G97"/>
    <mergeCell ref="G88:G89"/>
    <mergeCell ref="C99:C105"/>
    <mergeCell ref="F99:F105"/>
    <mergeCell ref="G99:G105"/>
    <mergeCell ref="C85:H85"/>
    <mergeCell ref="C86:C98"/>
    <mergeCell ref="F86:F87"/>
    <mergeCell ref="G86:G87"/>
    <mergeCell ref="H86:H87"/>
    <mergeCell ref="F88:F89"/>
    <mergeCell ref="H88:H89"/>
    <mergeCell ref="H90:H98"/>
    <mergeCell ref="F93:F94"/>
    <mergeCell ref="G93:G94"/>
    <mergeCell ref="F79:F81"/>
    <mergeCell ref="G79:G81"/>
    <mergeCell ref="C82:C83"/>
    <mergeCell ref="F82:F83"/>
    <mergeCell ref="G82:G83"/>
    <mergeCell ref="H82:H83"/>
    <mergeCell ref="C67:C81"/>
    <mergeCell ref="F67:F69"/>
    <mergeCell ref="G67:G69"/>
    <mergeCell ref="H67:H81"/>
    <mergeCell ref="F70:F72"/>
    <mergeCell ref="G70:G72"/>
    <mergeCell ref="F73:F75"/>
    <mergeCell ref="G73:G75"/>
    <mergeCell ref="F76:F78"/>
    <mergeCell ref="G76:G78"/>
    <mergeCell ref="F49:F51"/>
    <mergeCell ref="G49:G51"/>
    <mergeCell ref="H49:H66"/>
    <mergeCell ref="F52:F54"/>
    <mergeCell ref="G52:G54"/>
    <mergeCell ref="F61:F63"/>
    <mergeCell ref="G61:G63"/>
    <mergeCell ref="F64:F66"/>
    <mergeCell ref="G64:G66"/>
    <mergeCell ref="C250:C253"/>
    <mergeCell ref="F250:F251"/>
    <mergeCell ref="C244:C246"/>
    <mergeCell ref="H244:H246"/>
    <mergeCell ref="C235:C239"/>
    <mergeCell ref="F235:F237"/>
    <mergeCell ref="G235:G237"/>
    <mergeCell ref="H235:H239"/>
    <mergeCell ref="F238:F239"/>
    <mergeCell ref="G238:G239"/>
    <mergeCell ref="G194:G195"/>
    <mergeCell ref="C183:C187"/>
    <mergeCell ref="F183:F187"/>
    <mergeCell ref="C180:C182"/>
    <mergeCell ref="F180:F182"/>
    <mergeCell ref="G180:G182"/>
    <mergeCell ref="G183:G187"/>
    <mergeCell ref="C155:C160"/>
    <mergeCell ref="F155:F156"/>
    <mergeCell ref="C128:C143"/>
    <mergeCell ref="F128:F135"/>
    <mergeCell ref="G128:G135"/>
    <mergeCell ref="H128:H143"/>
    <mergeCell ref="F136:F143"/>
    <mergeCell ref="G136:G143"/>
    <mergeCell ref="C144:C154"/>
    <mergeCell ref="F144:F148"/>
    <mergeCell ref="D10:I10"/>
    <mergeCell ref="F55:F57"/>
    <mergeCell ref="G55:G57"/>
    <mergeCell ref="F58:F60"/>
    <mergeCell ref="G58:G60"/>
    <mergeCell ref="H180:H182"/>
    <mergeCell ref="C45:D45"/>
    <mergeCell ref="C46:E46"/>
    <mergeCell ref="C48:H48"/>
    <mergeCell ref="C49:C66"/>
    <mergeCell ref="D23:I23"/>
    <mergeCell ref="D24:I24"/>
    <mergeCell ref="D37:I37"/>
    <mergeCell ref="D38:I38"/>
    <mergeCell ref="C3:F3"/>
    <mergeCell ref="B4:F4"/>
    <mergeCell ref="C5:H5"/>
    <mergeCell ref="C6:F6"/>
    <mergeCell ref="C7:D7"/>
    <mergeCell ref="C8:F8"/>
  </mergeCells>
  <conditionalFormatting sqref="C103 C136 C232 D82 D100 D63 D10 D21 C19:C20 C25 C36 C31 C23 D24 D38">
    <cfRule type="cellIs" priority="20" dxfId="21" operator="equal">
      <formula>0</formula>
    </cfRule>
  </conditionalFormatting>
  <conditionalFormatting sqref="C422">
    <cfRule type="cellIs" priority="19" dxfId="21" operator="equal">
      <formula>0</formula>
    </cfRule>
  </conditionalFormatting>
  <conditionalFormatting sqref="C422 C463">
    <cfRule type="cellIs" priority="18" dxfId="21" operator="equal">
      <formula>0</formula>
    </cfRule>
  </conditionalFormatting>
  <conditionalFormatting sqref="C379">
    <cfRule type="cellIs" priority="17" dxfId="21" operator="equal">
      <formula>0</formula>
    </cfRule>
  </conditionalFormatting>
  <conditionalFormatting sqref="C379">
    <cfRule type="cellIs" priority="16" dxfId="21" operator="equal">
      <formula>0</formula>
    </cfRule>
  </conditionalFormatting>
  <conditionalFormatting sqref="C103 C136 C232 D82 D100 D63">
    <cfRule type="cellIs" priority="15" dxfId="21" operator="equal">
      <formula>0</formula>
    </cfRule>
  </conditionalFormatting>
  <conditionalFormatting sqref="C422">
    <cfRule type="cellIs" priority="14" dxfId="21" operator="equal">
      <formula>0</formula>
    </cfRule>
  </conditionalFormatting>
  <conditionalFormatting sqref="C422 C463">
    <cfRule type="cellIs" priority="13" dxfId="21" operator="equal">
      <formula>0</formula>
    </cfRule>
  </conditionalFormatting>
  <conditionalFormatting sqref="C379">
    <cfRule type="cellIs" priority="12" dxfId="21" operator="equal">
      <formula>0</formula>
    </cfRule>
  </conditionalFormatting>
  <conditionalFormatting sqref="C379">
    <cfRule type="cellIs" priority="11" dxfId="21" operator="equal">
      <formula>0</formula>
    </cfRule>
  </conditionalFormatting>
  <conditionalFormatting sqref="C48 C85">
    <cfRule type="cellIs" priority="10" dxfId="21" operator="equal">
      <formula>0</formula>
    </cfRule>
  </conditionalFormatting>
  <conditionalFormatting sqref="C198">
    <cfRule type="cellIs" priority="9" dxfId="21" operator="equal">
      <formula>0</formula>
    </cfRule>
  </conditionalFormatting>
  <conditionalFormatting sqref="C198 C227">
    <cfRule type="cellIs" priority="8" dxfId="21" operator="equal">
      <formula>0</formula>
    </cfRule>
  </conditionalFormatting>
  <conditionalFormatting sqref="C166">
    <cfRule type="cellIs" priority="7" dxfId="21" operator="equal">
      <formula>0</formula>
    </cfRule>
  </conditionalFormatting>
  <conditionalFormatting sqref="C166">
    <cfRule type="cellIs" priority="6" dxfId="21" operator="equal">
      <formula>0</formula>
    </cfRule>
  </conditionalFormatting>
  <conditionalFormatting sqref="C48 C85">
    <cfRule type="cellIs" priority="5" dxfId="21" operator="equal">
      <formula>0</formula>
    </cfRule>
  </conditionalFormatting>
  <conditionalFormatting sqref="C198">
    <cfRule type="cellIs" priority="4" dxfId="21" operator="equal">
      <formula>0</formula>
    </cfRule>
  </conditionalFormatting>
  <conditionalFormatting sqref="C198 C227">
    <cfRule type="cellIs" priority="3" dxfId="21" operator="equal">
      <formula>0</formula>
    </cfRule>
  </conditionalFormatting>
  <conditionalFormatting sqref="C166">
    <cfRule type="cellIs" priority="2" dxfId="21" operator="equal">
      <formula>0</formula>
    </cfRule>
  </conditionalFormatting>
  <conditionalFormatting sqref="C166">
    <cfRule type="cellIs" priority="1" dxfId="21" operator="equal">
      <formula>0</formula>
    </cfRule>
  </conditionalFormatting>
  <dataValidations count="1">
    <dataValidation operator="greaterThan" showInputMessage="1" showErrorMessage="1" promptTitle="PAC" prompt="Digite la Descripción de la Contratación" errorTitle="PAC" error="Falta digitar la Descripción de la Contratación" sqref="C213 C82 C144 C128 C67 D40"/>
  </dataValidations>
  <printOptions/>
  <pageMargins left="0.7086614173228347" right="0.7086614173228347" top="0.7480314960629921" bottom="0.7480314960629921" header="0.31496062992125984" footer="0.31496062992125984"/>
  <pageSetup horizontalDpi="600" verticalDpi="600" orientation="landscape" scale="55"/>
</worksheet>
</file>

<file path=xl/worksheets/sheet4.xml><?xml version="1.0" encoding="utf-8"?>
<worksheet xmlns="http://schemas.openxmlformats.org/spreadsheetml/2006/main" xmlns:r="http://schemas.openxmlformats.org/officeDocument/2006/relationships">
  <dimension ref="B2:G58"/>
  <sheetViews>
    <sheetView zoomScalePageLayoutView="0" workbookViewId="0" topLeftCell="A13">
      <selection activeCell="E10" sqref="E10:F10"/>
    </sheetView>
  </sheetViews>
  <sheetFormatPr defaultColWidth="11.421875" defaultRowHeight="15"/>
  <cols>
    <col min="1" max="2" width="11.421875" style="0" customWidth="1"/>
    <col min="3" max="3" width="30.7109375" style="0" customWidth="1"/>
    <col min="4" max="4" width="23.8515625" style="0" customWidth="1"/>
    <col min="5" max="5" width="30.7109375" style="0" customWidth="1"/>
    <col min="6" max="6" width="57.28125" style="0" customWidth="1"/>
  </cols>
  <sheetData>
    <row r="1" ht="15.75" thickBot="1"/>
    <row r="2" spans="2:7" ht="15.75" thickBot="1">
      <c r="B2" s="108"/>
      <c r="C2" s="109"/>
      <c r="D2" s="109"/>
      <c r="E2" s="109"/>
      <c r="F2" s="109"/>
      <c r="G2" s="110"/>
    </row>
    <row r="3" spans="2:7" ht="21" thickBot="1">
      <c r="B3" s="111"/>
      <c r="C3" s="450" t="s">
        <v>223</v>
      </c>
      <c r="D3" s="451"/>
      <c r="E3" s="451"/>
      <c r="F3" s="452"/>
      <c r="G3" s="75"/>
    </row>
    <row r="4" spans="2:7" ht="15">
      <c r="B4" s="576"/>
      <c r="C4" s="577"/>
      <c r="D4" s="577"/>
      <c r="E4" s="577"/>
      <c r="F4" s="577"/>
      <c r="G4" s="75"/>
    </row>
    <row r="5" spans="2:7" ht="15">
      <c r="B5" s="76"/>
      <c r="C5" s="578"/>
      <c r="D5" s="578"/>
      <c r="E5" s="578"/>
      <c r="F5" s="578"/>
      <c r="G5" s="75"/>
    </row>
    <row r="6" spans="2:7" ht="15">
      <c r="B6" s="76"/>
      <c r="C6" s="77"/>
      <c r="D6" s="78"/>
      <c r="E6" s="77"/>
      <c r="F6" s="78"/>
      <c r="G6" s="75"/>
    </row>
    <row r="7" spans="2:7" ht="15">
      <c r="B7" s="76"/>
      <c r="C7" s="579" t="s">
        <v>234</v>
      </c>
      <c r="D7" s="579"/>
      <c r="E7" s="79"/>
      <c r="F7" s="78"/>
      <c r="G7" s="75"/>
    </row>
    <row r="8" spans="2:7" ht="15.75" thickBot="1">
      <c r="B8" s="76"/>
      <c r="C8" s="560" t="s">
        <v>320</v>
      </c>
      <c r="D8" s="560"/>
      <c r="E8" s="560"/>
      <c r="F8" s="560"/>
      <c r="G8" s="75"/>
    </row>
    <row r="9" spans="2:7" ht="15.75" thickBot="1">
      <c r="B9" s="76"/>
      <c r="C9" s="31" t="s">
        <v>236</v>
      </c>
      <c r="D9" s="32" t="s">
        <v>235</v>
      </c>
      <c r="E9" s="573" t="s">
        <v>319</v>
      </c>
      <c r="F9" s="574"/>
      <c r="G9" s="75"/>
    </row>
    <row r="10" spans="2:7" ht="58.5" customHeight="1" thickBot="1">
      <c r="B10" s="76"/>
      <c r="C10" s="582" t="s">
        <v>441</v>
      </c>
      <c r="D10" s="582" t="s">
        <v>546</v>
      </c>
      <c r="E10" s="569" t="s">
        <v>480</v>
      </c>
      <c r="F10" s="581"/>
      <c r="G10" s="75"/>
    </row>
    <row r="11" spans="2:7" ht="129" customHeight="1" thickBot="1">
      <c r="B11" s="76"/>
      <c r="C11" s="587"/>
      <c r="D11" s="587"/>
      <c r="E11" s="569" t="s">
        <v>481</v>
      </c>
      <c r="F11" s="581"/>
      <c r="G11" s="75"/>
    </row>
    <row r="12" spans="2:7" ht="204.75" customHeight="1" thickBot="1">
      <c r="B12" s="76"/>
      <c r="C12" s="587"/>
      <c r="D12" s="587"/>
      <c r="E12" s="569" t="s">
        <v>482</v>
      </c>
      <c r="F12" s="570"/>
      <c r="G12" s="75"/>
    </row>
    <row r="13" spans="2:7" ht="143.25" customHeight="1" thickBot="1">
      <c r="B13" s="76"/>
      <c r="C13" s="583"/>
      <c r="D13" s="583"/>
      <c r="E13" s="569" t="s">
        <v>462</v>
      </c>
      <c r="F13" s="581"/>
      <c r="G13" s="75"/>
    </row>
    <row r="14" spans="2:7" ht="190.5" customHeight="1" thickBot="1">
      <c r="B14" s="76"/>
      <c r="C14" s="582" t="s">
        <v>442</v>
      </c>
      <c r="D14" s="582" t="s">
        <v>527</v>
      </c>
      <c r="E14" s="571" t="s">
        <v>463</v>
      </c>
      <c r="F14" s="586"/>
      <c r="G14" s="75"/>
    </row>
    <row r="15" spans="2:7" ht="96" customHeight="1" thickBot="1">
      <c r="B15" s="76"/>
      <c r="C15" s="583"/>
      <c r="D15" s="583"/>
      <c r="E15" s="569" t="s">
        <v>483</v>
      </c>
      <c r="F15" s="570"/>
      <c r="G15" s="75"/>
    </row>
    <row r="16" spans="2:7" ht="111.75" customHeight="1" thickBot="1">
      <c r="B16" s="76"/>
      <c r="C16" s="34" t="s">
        <v>464</v>
      </c>
      <c r="D16" s="323" t="s">
        <v>526</v>
      </c>
      <c r="E16" s="571" t="s">
        <v>484</v>
      </c>
      <c r="F16" s="572"/>
      <c r="G16" s="75"/>
    </row>
    <row r="17" spans="2:7" ht="27" customHeight="1">
      <c r="B17" s="76"/>
      <c r="C17" s="34"/>
      <c r="D17" s="34"/>
      <c r="E17" s="571"/>
      <c r="F17" s="572"/>
      <c r="G17" s="75"/>
    </row>
    <row r="18" spans="2:7" ht="30" customHeight="1" thickBot="1">
      <c r="B18" s="76"/>
      <c r="C18" s="35"/>
      <c r="D18" s="35"/>
      <c r="E18" s="557"/>
      <c r="F18" s="558"/>
      <c r="G18" s="75"/>
    </row>
    <row r="19" spans="2:7" ht="15">
      <c r="B19" s="76"/>
      <c r="C19" s="78"/>
      <c r="D19" s="78"/>
      <c r="E19" s="78"/>
      <c r="F19" s="78"/>
      <c r="G19" s="75"/>
    </row>
    <row r="20" spans="2:7" ht="15">
      <c r="B20" s="76"/>
      <c r="C20" s="575" t="s">
        <v>290</v>
      </c>
      <c r="D20" s="575"/>
      <c r="E20" s="575"/>
      <c r="F20" s="575"/>
      <c r="G20" s="75"/>
    </row>
    <row r="21" spans="2:7" ht="15.75" thickBot="1">
      <c r="B21" s="76"/>
      <c r="C21" s="561" t="s">
        <v>317</v>
      </c>
      <c r="D21" s="561"/>
      <c r="E21" s="561"/>
      <c r="F21" s="561"/>
      <c r="G21" s="75"/>
    </row>
    <row r="22" spans="2:7" ht="15.75" thickBot="1">
      <c r="B22" s="76"/>
      <c r="C22" s="31" t="s">
        <v>236</v>
      </c>
      <c r="D22" s="32" t="s">
        <v>235</v>
      </c>
      <c r="E22" s="573" t="s">
        <v>319</v>
      </c>
      <c r="F22" s="574"/>
      <c r="G22" s="75"/>
    </row>
    <row r="23" spans="2:7" ht="39.75" customHeight="1">
      <c r="B23" s="76"/>
      <c r="C23" s="33"/>
      <c r="D23" s="33"/>
      <c r="E23" s="565"/>
      <c r="F23" s="566"/>
      <c r="G23" s="75"/>
    </row>
    <row r="24" spans="2:7" ht="39.75" customHeight="1">
      <c r="B24" s="76"/>
      <c r="C24" s="34"/>
      <c r="D24" s="34"/>
      <c r="E24" s="567"/>
      <c r="F24" s="568"/>
      <c r="G24" s="75"/>
    </row>
    <row r="25" spans="2:7" ht="39.75" customHeight="1">
      <c r="B25" s="76"/>
      <c r="C25" s="34"/>
      <c r="D25" s="34"/>
      <c r="E25" s="567"/>
      <c r="F25" s="568"/>
      <c r="G25" s="75"/>
    </row>
    <row r="26" spans="2:7" ht="39.75" customHeight="1" thickBot="1">
      <c r="B26" s="76"/>
      <c r="C26" s="35"/>
      <c r="D26" s="35"/>
      <c r="E26" s="557"/>
      <c r="F26" s="558"/>
      <c r="G26" s="75"/>
    </row>
    <row r="27" spans="2:7" ht="15">
      <c r="B27" s="76"/>
      <c r="C27" s="78"/>
      <c r="D27" s="78"/>
      <c r="E27" s="78"/>
      <c r="F27" s="78"/>
      <c r="G27" s="75"/>
    </row>
    <row r="28" spans="2:7" ht="15">
      <c r="B28" s="76"/>
      <c r="C28" s="78"/>
      <c r="D28" s="78"/>
      <c r="E28" s="78"/>
      <c r="F28" s="78"/>
      <c r="G28" s="75"/>
    </row>
    <row r="29" spans="2:7" ht="31.5" customHeight="1">
      <c r="B29" s="76"/>
      <c r="C29" s="559" t="s">
        <v>289</v>
      </c>
      <c r="D29" s="559"/>
      <c r="E29" s="559"/>
      <c r="F29" s="559"/>
      <c r="G29" s="75"/>
    </row>
    <row r="30" spans="2:7" ht="15.75" thickBot="1">
      <c r="B30" s="76"/>
      <c r="C30" s="560" t="s">
        <v>321</v>
      </c>
      <c r="D30" s="560"/>
      <c r="E30" s="585"/>
      <c r="F30" s="585"/>
      <c r="G30" s="75"/>
    </row>
    <row r="31" spans="2:7" ht="71.25" customHeight="1" thickBot="1">
      <c r="B31" s="76"/>
      <c r="C31" s="569" t="s">
        <v>516</v>
      </c>
      <c r="D31" s="580"/>
      <c r="E31" s="580"/>
      <c r="F31" s="581"/>
      <c r="G31" s="75"/>
    </row>
    <row r="32" spans="2:7" ht="15">
      <c r="B32" s="76"/>
      <c r="C32" s="78"/>
      <c r="D32" s="78"/>
      <c r="E32" s="78"/>
      <c r="F32" s="78"/>
      <c r="G32" s="75"/>
    </row>
    <row r="33" spans="2:7" ht="15">
      <c r="B33" s="76"/>
      <c r="C33" s="78"/>
      <c r="D33" s="78"/>
      <c r="E33" s="78"/>
      <c r="F33" s="78"/>
      <c r="G33" s="75"/>
    </row>
    <row r="34" spans="2:7" ht="15">
      <c r="B34" s="76"/>
      <c r="C34" s="78"/>
      <c r="D34" s="78"/>
      <c r="E34" s="78"/>
      <c r="F34" s="78"/>
      <c r="G34" s="75"/>
    </row>
    <row r="35" spans="2:7" ht="15.75" thickBot="1">
      <c r="B35" s="80"/>
      <c r="C35" s="81"/>
      <c r="D35" s="81"/>
      <c r="E35" s="81"/>
      <c r="F35" s="81"/>
      <c r="G35" s="82"/>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555"/>
      <c r="D42" s="555"/>
      <c r="E42" s="7"/>
      <c r="F42" s="8"/>
      <c r="G42" s="8"/>
    </row>
    <row r="43" spans="2:7" ht="15">
      <c r="B43" s="8"/>
      <c r="C43" s="555"/>
      <c r="D43" s="555"/>
      <c r="E43" s="7"/>
      <c r="F43" s="8"/>
      <c r="G43" s="8"/>
    </row>
    <row r="44" spans="2:7" ht="15">
      <c r="B44" s="8"/>
      <c r="C44" s="562"/>
      <c r="D44" s="562"/>
      <c r="E44" s="562"/>
      <c r="F44" s="562"/>
      <c r="G44" s="8"/>
    </row>
    <row r="45" spans="2:7" ht="15">
      <c r="B45" s="8"/>
      <c r="C45" s="563"/>
      <c r="D45" s="563"/>
      <c r="E45" s="564"/>
      <c r="F45" s="564"/>
      <c r="G45" s="8"/>
    </row>
    <row r="46" spans="2:7" ht="15">
      <c r="B46" s="8"/>
      <c r="C46" s="563"/>
      <c r="D46" s="563"/>
      <c r="E46" s="556"/>
      <c r="F46" s="556"/>
      <c r="G46" s="8"/>
    </row>
    <row r="47" spans="2:7" ht="15">
      <c r="B47" s="8"/>
      <c r="C47" s="8"/>
      <c r="D47" s="8"/>
      <c r="E47" s="8"/>
      <c r="F47" s="8"/>
      <c r="G47" s="8"/>
    </row>
    <row r="48" spans="2:7" ht="15">
      <c r="B48" s="8"/>
      <c r="C48" s="555"/>
      <c r="D48" s="555"/>
      <c r="E48" s="7"/>
      <c r="F48" s="8"/>
      <c r="G48" s="8"/>
    </row>
    <row r="49" spans="2:7" ht="15">
      <c r="B49" s="8"/>
      <c r="C49" s="555"/>
      <c r="D49" s="555"/>
      <c r="E49" s="584"/>
      <c r="F49" s="584"/>
      <c r="G49" s="8"/>
    </row>
    <row r="50" spans="2:7" ht="15">
      <c r="B50" s="8"/>
      <c r="C50" s="7"/>
      <c r="D50" s="7"/>
      <c r="E50" s="7"/>
      <c r="F50" s="7"/>
      <c r="G50" s="8"/>
    </row>
    <row r="51" spans="2:7" ht="15">
      <c r="B51" s="8"/>
      <c r="C51" s="563"/>
      <c r="D51" s="563"/>
      <c r="E51" s="564"/>
      <c r="F51" s="564"/>
      <c r="G51" s="8"/>
    </row>
    <row r="52" spans="2:7" ht="15">
      <c r="B52" s="8"/>
      <c r="C52" s="563"/>
      <c r="D52" s="563"/>
      <c r="E52" s="556"/>
      <c r="F52" s="556"/>
      <c r="G52" s="8"/>
    </row>
    <row r="53" spans="2:7" ht="15">
      <c r="B53" s="8"/>
      <c r="C53" s="8"/>
      <c r="D53" s="8"/>
      <c r="E53" s="8"/>
      <c r="F53" s="8"/>
      <c r="G53" s="8"/>
    </row>
    <row r="54" spans="2:7" ht="15">
      <c r="B54" s="8"/>
      <c r="C54" s="555"/>
      <c r="D54" s="555"/>
      <c r="E54" s="8"/>
      <c r="F54" s="8"/>
      <c r="G54" s="8"/>
    </row>
    <row r="55" spans="2:7" ht="15">
      <c r="B55" s="8"/>
      <c r="C55" s="555"/>
      <c r="D55" s="555"/>
      <c r="E55" s="556"/>
      <c r="F55" s="556"/>
      <c r="G55" s="8"/>
    </row>
    <row r="56" spans="2:7" ht="15">
      <c r="B56" s="8"/>
      <c r="C56" s="563"/>
      <c r="D56" s="563"/>
      <c r="E56" s="556"/>
      <c r="F56" s="556"/>
      <c r="G56" s="8"/>
    </row>
    <row r="57" spans="2:7" ht="15">
      <c r="B57" s="8"/>
      <c r="C57" s="10"/>
      <c r="D57" s="8"/>
      <c r="E57" s="10"/>
      <c r="F57" s="8"/>
      <c r="G57" s="8"/>
    </row>
    <row r="58" spans="2:7" ht="15">
      <c r="B58" s="8"/>
      <c r="C58" s="10"/>
      <c r="D58" s="10"/>
      <c r="E58" s="10"/>
      <c r="F58" s="10"/>
      <c r="G58" s="11"/>
    </row>
  </sheetData>
  <sheetProtection/>
  <mergeCells count="49">
    <mergeCell ref="E11:F11"/>
    <mergeCell ref="E12:F12"/>
    <mergeCell ref="C56:D56"/>
    <mergeCell ref="E56:F56"/>
    <mergeCell ref="C52:D52"/>
    <mergeCell ref="E52:F52"/>
    <mergeCell ref="C42:D42"/>
    <mergeCell ref="C43:D43"/>
    <mergeCell ref="C10:C13"/>
    <mergeCell ref="D10:D13"/>
    <mergeCell ref="E13:F13"/>
    <mergeCell ref="C14:C15"/>
    <mergeCell ref="C54:D54"/>
    <mergeCell ref="E49:F49"/>
    <mergeCell ref="E46:F46"/>
    <mergeCell ref="C48:D48"/>
    <mergeCell ref="E30:F30"/>
    <mergeCell ref="D14:D15"/>
    <mergeCell ref="E14:F14"/>
    <mergeCell ref="C5:F5"/>
    <mergeCell ref="C7:D7"/>
    <mergeCell ref="C8:F8"/>
    <mergeCell ref="E9:F9"/>
    <mergeCell ref="C46:D46"/>
    <mergeCell ref="E17:F17"/>
    <mergeCell ref="C31:F31"/>
    <mergeCell ref="C45:D45"/>
    <mergeCell ref="E45:F45"/>
    <mergeCell ref="E10:F10"/>
    <mergeCell ref="C3:F3"/>
    <mergeCell ref="E23:F23"/>
    <mergeCell ref="E24:F24"/>
    <mergeCell ref="E25:F25"/>
    <mergeCell ref="E26:F26"/>
    <mergeCell ref="E15:F15"/>
    <mergeCell ref="E16:F16"/>
    <mergeCell ref="E22:F22"/>
    <mergeCell ref="C20:F20"/>
    <mergeCell ref="B4:F4"/>
    <mergeCell ref="C55:D55"/>
    <mergeCell ref="E55:F55"/>
    <mergeCell ref="E18:F18"/>
    <mergeCell ref="C29:F29"/>
    <mergeCell ref="C30:D30"/>
    <mergeCell ref="C21:F21"/>
    <mergeCell ref="C49:D49"/>
    <mergeCell ref="C44:F44"/>
    <mergeCell ref="C51:D51"/>
    <mergeCell ref="E51:F51"/>
  </mergeCells>
  <dataValidations count="2">
    <dataValidation type="whole" allowBlank="1" showInputMessage="1" showErrorMessage="1" sqref="E51 E45">
      <formula1>-999999999</formula1>
      <formula2>999999999</formula2>
    </dataValidation>
    <dataValidation type="list" allowBlank="1" showInputMessage="1" showErrorMessage="1" sqref="E55">
      <formula1>$K$62:$K$63</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C125"/>
  <sheetViews>
    <sheetView zoomScale="80" zoomScaleNormal="80" zoomScalePageLayoutView="0" workbookViewId="0" topLeftCell="B11">
      <selection activeCell="I56" sqref="I56:L56"/>
    </sheetView>
  </sheetViews>
  <sheetFormatPr defaultColWidth="11.421875" defaultRowHeight="15"/>
  <cols>
    <col min="1" max="1" width="3.421875" style="0" hidden="1" customWidth="1"/>
    <col min="2" max="2" width="0.2890625" style="0" customWidth="1"/>
    <col min="3" max="3" width="0.13671875" style="322" customWidth="1"/>
    <col min="4" max="4" width="12.140625" style="12" customWidth="1"/>
    <col min="5" max="5" width="22.28125" style="389" customWidth="1"/>
    <col min="6" max="6" width="30.7109375" style="390" customWidth="1"/>
    <col min="7" max="7" width="6.28125" style="390" customWidth="1"/>
    <col min="8" max="8" width="31.421875" style="390" customWidth="1"/>
    <col min="9" max="9" width="22.140625" style="390" customWidth="1"/>
    <col min="10" max="10" width="16.7109375" style="390" customWidth="1"/>
    <col min="11" max="11" width="88.7109375" style="390" customWidth="1"/>
    <col min="12" max="12" width="20.140625" style="390" customWidth="1"/>
    <col min="13" max="14" width="11.421875" style="0" customWidth="1"/>
    <col min="15" max="15" width="40.7109375" style="0" customWidth="1"/>
  </cols>
  <sheetData>
    <row r="1" spans="1:55" ht="15.75" thickBot="1">
      <c r="A1" s="22"/>
      <c r="B1" s="22"/>
      <c r="C1" s="22"/>
      <c r="D1" s="21"/>
      <c r="E1" s="342"/>
      <c r="F1" s="343"/>
      <c r="G1" s="343"/>
      <c r="H1" s="343"/>
      <c r="I1" s="343"/>
      <c r="J1" s="343"/>
      <c r="K1" s="344"/>
      <c r="L1" s="344"/>
      <c r="M1" s="22"/>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row>
    <row r="2" spans="1:55" ht="15.75" thickBot="1">
      <c r="A2" s="22"/>
      <c r="B2" s="55"/>
      <c r="C2" s="57"/>
      <c r="D2" s="56"/>
      <c r="E2" s="345"/>
      <c r="F2" s="346"/>
      <c r="G2" s="346"/>
      <c r="H2" s="346"/>
      <c r="I2" s="346"/>
      <c r="J2" s="346"/>
      <c r="K2" s="347"/>
      <c r="L2" s="347"/>
      <c r="M2" s="58"/>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row>
    <row r="3" spans="1:55" ht="21" thickBot="1">
      <c r="A3" s="22"/>
      <c r="B3" s="111"/>
      <c r="C3" s="111"/>
      <c r="D3" s="450" t="s">
        <v>283</v>
      </c>
      <c r="E3" s="451"/>
      <c r="F3" s="451"/>
      <c r="G3" s="451"/>
      <c r="H3" s="451"/>
      <c r="I3" s="451"/>
      <c r="J3" s="451"/>
      <c r="K3" s="451"/>
      <c r="L3" s="452"/>
      <c r="M3" s="113"/>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row>
    <row r="4" spans="1:55" ht="15" customHeight="1">
      <c r="A4" s="22"/>
      <c r="B4" s="59"/>
      <c r="C4" s="62"/>
      <c r="D4" s="648" t="s">
        <v>224</v>
      </c>
      <c r="E4" s="648"/>
      <c r="F4" s="648"/>
      <c r="G4" s="648"/>
      <c r="H4" s="648"/>
      <c r="I4" s="648"/>
      <c r="J4" s="648"/>
      <c r="K4" s="648"/>
      <c r="L4" s="648"/>
      <c r="M4" s="6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row>
    <row r="5" spans="1:55" ht="15">
      <c r="A5" s="22"/>
      <c r="B5" s="59"/>
      <c r="C5" s="62"/>
      <c r="D5" s="61"/>
      <c r="E5" s="348"/>
      <c r="F5" s="77"/>
      <c r="G5" s="77"/>
      <c r="H5" s="77"/>
      <c r="I5" s="77"/>
      <c r="J5" s="77"/>
      <c r="K5" s="349"/>
      <c r="L5" s="349"/>
      <c r="M5" s="6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row>
    <row r="6" spans="1:55" ht="31.5" customHeight="1" thickBot="1">
      <c r="A6" s="22"/>
      <c r="B6" s="59"/>
      <c r="C6" s="62"/>
      <c r="D6" s="61"/>
      <c r="E6" s="348"/>
      <c r="F6" s="643" t="s">
        <v>284</v>
      </c>
      <c r="G6" s="643"/>
      <c r="H6" s="350"/>
      <c r="I6" s="643" t="s">
        <v>358</v>
      </c>
      <c r="J6" s="643"/>
      <c r="K6" s="350" t="s">
        <v>292</v>
      </c>
      <c r="L6" s="350" t="s">
        <v>233</v>
      </c>
      <c r="M6" s="6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row>
    <row r="7" spans="1:55" s="322" customFormat="1" ht="31.5" customHeight="1">
      <c r="A7" s="22"/>
      <c r="B7" s="59"/>
      <c r="C7" s="62"/>
      <c r="D7" s="61"/>
      <c r="E7" s="612" t="s">
        <v>555</v>
      </c>
      <c r="F7" s="655" t="s">
        <v>570</v>
      </c>
      <c r="G7" s="656"/>
      <c r="H7" s="656"/>
      <c r="I7" s="656"/>
      <c r="J7" s="656"/>
      <c r="K7" s="656"/>
      <c r="L7" s="657"/>
      <c r="M7" s="6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row>
    <row r="8" spans="1:55" s="12" customFormat="1" ht="198.75" customHeight="1" thickBot="1">
      <c r="A8" s="21"/>
      <c r="B8" s="64"/>
      <c r="C8" s="61"/>
      <c r="D8" s="328" t="s">
        <v>281</v>
      </c>
      <c r="E8" s="653"/>
      <c r="F8" s="658" t="s">
        <v>559</v>
      </c>
      <c r="G8" s="659"/>
      <c r="H8" s="592" t="s">
        <v>537</v>
      </c>
      <c r="I8" s="593"/>
      <c r="J8" s="594"/>
      <c r="K8" s="351" t="s">
        <v>602</v>
      </c>
      <c r="L8" s="352" t="s">
        <v>228</v>
      </c>
      <c r="M8" s="65"/>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row>
    <row r="9" spans="1:55" s="12" customFormat="1" ht="121.5" customHeight="1" thickBot="1">
      <c r="A9" s="21"/>
      <c r="B9" s="64"/>
      <c r="C9" s="61"/>
      <c r="D9" s="174"/>
      <c r="E9" s="654"/>
      <c r="F9" s="608" t="s">
        <v>569</v>
      </c>
      <c r="G9" s="609"/>
      <c r="H9" s="592" t="s">
        <v>521</v>
      </c>
      <c r="I9" s="593"/>
      <c r="J9" s="594"/>
      <c r="K9" s="353" t="s">
        <v>606</v>
      </c>
      <c r="L9" s="354" t="s">
        <v>228</v>
      </c>
      <c r="M9" s="65"/>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row>
    <row r="10" spans="1:55" s="12" customFormat="1" ht="34.5" customHeight="1" thickBot="1">
      <c r="A10" s="21"/>
      <c r="B10" s="324"/>
      <c r="C10" s="61"/>
      <c r="D10" s="328"/>
      <c r="E10" s="612" t="s">
        <v>556</v>
      </c>
      <c r="F10" s="610" t="s">
        <v>571</v>
      </c>
      <c r="G10" s="610"/>
      <c r="H10" s="610"/>
      <c r="I10" s="610"/>
      <c r="J10" s="610"/>
      <c r="K10" s="610"/>
      <c r="L10" s="611"/>
      <c r="M10" s="325"/>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row>
    <row r="11" spans="1:55" s="12" customFormat="1" ht="123.75" customHeight="1" thickBot="1">
      <c r="A11" s="21"/>
      <c r="B11" s="64"/>
      <c r="C11" s="61"/>
      <c r="D11" s="174"/>
      <c r="E11" s="613"/>
      <c r="F11" s="651" t="s">
        <v>560</v>
      </c>
      <c r="G11" s="652"/>
      <c r="H11" s="595" t="s">
        <v>520</v>
      </c>
      <c r="I11" s="596"/>
      <c r="J11" s="597"/>
      <c r="K11" s="355" t="s">
        <v>522</v>
      </c>
      <c r="L11" s="340" t="s">
        <v>228</v>
      </c>
      <c r="M11" s="65"/>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row>
    <row r="12" spans="1:55" s="12" customFormat="1" ht="117.75" customHeight="1" thickBot="1">
      <c r="A12" s="21"/>
      <c r="B12" s="64"/>
      <c r="C12" s="61"/>
      <c r="D12" s="174"/>
      <c r="E12" s="614"/>
      <c r="F12" s="590" t="s">
        <v>561</v>
      </c>
      <c r="G12" s="591"/>
      <c r="H12" s="598" t="s">
        <v>572</v>
      </c>
      <c r="I12" s="599"/>
      <c r="J12" s="600"/>
      <c r="K12" s="355" t="s">
        <v>607</v>
      </c>
      <c r="L12" s="356" t="s">
        <v>227</v>
      </c>
      <c r="M12" s="65"/>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row>
    <row r="13" spans="1:55" s="12" customFormat="1" ht="38.25" customHeight="1">
      <c r="A13" s="21"/>
      <c r="B13" s="324"/>
      <c r="C13" s="61"/>
      <c r="D13" s="328"/>
      <c r="E13" s="612" t="s">
        <v>557</v>
      </c>
      <c r="F13" s="610"/>
      <c r="G13" s="610"/>
      <c r="H13" s="610"/>
      <c r="I13" s="610"/>
      <c r="J13" s="610"/>
      <c r="K13" s="610"/>
      <c r="L13" s="611"/>
      <c r="M13" s="325"/>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row>
    <row r="14" spans="1:55" s="12" customFormat="1" ht="198.75" customHeight="1">
      <c r="A14" s="21"/>
      <c r="B14" s="64"/>
      <c r="C14" s="61"/>
      <c r="D14" s="174"/>
      <c r="E14" s="613"/>
      <c r="F14" s="660" t="s">
        <v>562</v>
      </c>
      <c r="G14" s="661"/>
      <c r="H14" s="601" t="s">
        <v>573</v>
      </c>
      <c r="I14" s="602"/>
      <c r="J14" s="603"/>
      <c r="K14" s="357" t="s">
        <v>574</v>
      </c>
      <c r="L14" s="340" t="s">
        <v>228</v>
      </c>
      <c r="M14" s="65"/>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row>
    <row r="15" spans="1:55" s="12" customFormat="1" ht="123" customHeight="1" thickBot="1">
      <c r="A15" s="21"/>
      <c r="B15" s="64"/>
      <c r="C15" s="61"/>
      <c r="D15" s="174"/>
      <c r="E15" s="614"/>
      <c r="F15" s="662" t="s">
        <v>563</v>
      </c>
      <c r="G15" s="663"/>
      <c r="H15" s="601" t="s">
        <v>575</v>
      </c>
      <c r="I15" s="602"/>
      <c r="J15" s="603"/>
      <c r="K15" s="351" t="s">
        <v>485</v>
      </c>
      <c r="L15" s="340" t="s">
        <v>228</v>
      </c>
      <c r="M15" s="65"/>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row>
    <row r="16" spans="1:55" s="12" customFormat="1" ht="41.25" customHeight="1">
      <c r="A16" s="21"/>
      <c r="B16" s="324"/>
      <c r="C16" s="61"/>
      <c r="D16" s="328"/>
      <c r="E16" s="612" t="s">
        <v>558</v>
      </c>
      <c r="F16" s="610" t="s">
        <v>576</v>
      </c>
      <c r="G16" s="610"/>
      <c r="H16" s="610"/>
      <c r="I16" s="610"/>
      <c r="J16" s="610"/>
      <c r="K16" s="610"/>
      <c r="L16" s="611"/>
      <c r="M16" s="325"/>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row>
    <row r="17" spans="1:55" s="12" customFormat="1" ht="118.5" customHeight="1" thickBot="1">
      <c r="A17" s="21"/>
      <c r="B17" s="324"/>
      <c r="C17" s="61"/>
      <c r="D17" s="328"/>
      <c r="E17" s="613"/>
      <c r="F17" s="649" t="s">
        <v>564</v>
      </c>
      <c r="G17" s="650"/>
      <c r="H17" s="604" t="s">
        <v>577</v>
      </c>
      <c r="I17" s="593"/>
      <c r="J17" s="594"/>
      <c r="K17" s="351" t="s">
        <v>608</v>
      </c>
      <c r="L17" s="358" t="s">
        <v>228</v>
      </c>
      <c r="M17" s="325"/>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row>
    <row r="18" spans="1:55" s="12" customFormat="1" ht="102" customHeight="1" thickBot="1">
      <c r="A18" s="21"/>
      <c r="B18" s="64"/>
      <c r="C18" s="61"/>
      <c r="D18" s="328"/>
      <c r="E18" s="614"/>
      <c r="F18" s="588" t="s">
        <v>565</v>
      </c>
      <c r="G18" s="589"/>
      <c r="H18" s="605" t="s">
        <v>465</v>
      </c>
      <c r="I18" s="606"/>
      <c r="J18" s="607"/>
      <c r="K18" s="359" t="s">
        <v>486</v>
      </c>
      <c r="L18" s="360" t="s">
        <v>228</v>
      </c>
      <c r="M18" s="65"/>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row>
    <row r="19" spans="1:55" s="12" customFormat="1" ht="39.75" customHeight="1">
      <c r="A19" s="21"/>
      <c r="B19" s="64"/>
      <c r="C19" s="61"/>
      <c r="D19" s="174"/>
      <c r="E19" s="361"/>
      <c r="F19" s="362"/>
      <c r="G19" s="362"/>
      <c r="H19" s="362"/>
      <c r="I19" s="362"/>
      <c r="J19" s="362"/>
      <c r="K19" s="363" t="s">
        <v>285</v>
      </c>
      <c r="L19" s="364" t="s">
        <v>228</v>
      </c>
      <c r="M19" s="65"/>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row>
    <row r="20" spans="1:55" s="12" customFormat="1" ht="15.75" thickBot="1">
      <c r="A20" s="21"/>
      <c r="B20" s="64"/>
      <c r="C20" s="61"/>
      <c r="D20" s="174"/>
      <c r="E20" s="361"/>
      <c r="F20" s="365"/>
      <c r="G20" s="366" t="s">
        <v>329</v>
      </c>
      <c r="H20" s="366"/>
      <c r="I20" s="362"/>
      <c r="J20" s="362"/>
      <c r="K20" s="362"/>
      <c r="L20" s="362"/>
      <c r="M20" s="65"/>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row>
    <row r="21" spans="1:55" s="12" customFormat="1" ht="15.75" thickBot="1">
      <c r="A21" s="21"/>
      <c r="B21" s="64"/>
      <c r="C21" s="61"/>
      <c r="D21" s="174"/>
      <c r="E21" s="361"/>
      <c r="F21" s="367" t="s">
        <v>60</v>
      </c>
      <c r="G21" s="664" t="s">
        <v>351</v>
      </c>
      <c r="H21" s="665"/>
      <c r="I21" s="665"/>
      <c r="J21" s="665"/>
      <c r="K21" s="666"/>
      <c r="L21" s="362"/>
      <c r="M21" s="65"/>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row>
    <row r="22" spans="1:55" s="12" customFormat="1" ht="15.75" thickBot="1">
      <c r="A22" s="21"/>
      <c r="B22" s="64"/>
      <c r="C22" s="61"/>
      <c r="D22" s="174"/>
      <c r="E22" s="361"/>
      <c r="F22" s="367" t="s">
        <v>62</v>
      </c>
      <c r="G22" s="667" t="s">
        <v>403</v>
      </c>
      <c r="H22" s="668"/>
      <c r="I22" s="620"/>
      <c r="J22" s="620"/>
      <c r="K22" s="621"/>
      <c r="L22" s="362"/>
      <c r="M22" s="65"/>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row>
    <row r="23" spans="1:55" s="12" customFormat="1" ht="39.75" customHeight="1">
      <c r="A23" s="21"/>
      <c r="B23" s="64"/>
      <c r="C23" s="61"/>
      <c r="D23" s="174"/>
      <c r="E23" s="361"/>
      <c r="F23" s="362"/>
      <c r="G23" s="362"/>
      <c r="H23" s="362"/>
      <c r="I23" s="362"/>
      <c r="J23" s="362"/>
      <c r="K23" s="362"/>
      <c r="L23" s="362"/>
      <c r="M23" s="65"/>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row>
    <row r="24" spans="1:55" s="12" customFormat="1" ht="30.75" customHeight="1" thickBot="1">
      <c r="A24" s="21"/>
      <c r="B24" s="64"/>
      <c r="C24" s="61"/>
      <c r="D24" s="669" t="s">
        <v>225</v>
      </c>
      <c r="E24" s="669"/>
      <c r="F24" s="669"/>
      <c r="G24" s="669"/>
      <c r="H24" s="669"/>
      <c r="I24" s="669"/>
      <c r="J24" s="669"/>
      <c r="K24" s="669"/>
      <c r="L24" s="349"/>
      <c r="M24" s="65"/>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row>
    <row r="25" spans="1:55" s="12" customFormat="1" ht="30.75" customHeight="1">
      <c r="A25" s="21"/>
      <c r="B25" s="64"/>
      <c r="C25" s="61"/>
      <c r="D25" s="175"/>
      <c r="E25" s="339"/>
      <c r="F25" s="670" t="s">
        <v>487</v>
      </c>
      <c r="G25" s="671"/>
      <c r="H25" s="671"/>
      <c r="I25" s="671"/>
      <c r="J25" s="671"/>
      <c r="K25" s="671"/>
      <c r="L25" s="672"/>
      <c r="M25" s="65"/>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row>
    <row r="26" spans="1:55" s="12" customFormat="1" ht="30.75" customHeight="1">
      <c r="A26" s="21"/>
      <c r="B26" s="64"/>
      <c r="C26" s="61"/>
      <c r="D26" s="175"/>
      <c r="E26" s="339"/>
      <c r="F26" s="673"/>
      <c r="G26" s="674"/>
      <c r="H26" s="674"/>
      <c r="I26" s="674"/>
      <c r="J26" s="674"/>
      <c r="K26" s="674"/>
      <c r="L26" s="675"/>
      <c r="M26" s="65"/>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row>
    <row r="27" spans="1:55" s="12" customFormat="1" ht="30.75" customHeight="1">
      <c r="A27" s="21"/>
      <c r="B27" s="64"/>
      <c r="C27" s="61"/>
      <c r="D27" s="175"/>
      <c r="E27" s="339"/>
      <c r="F27" s="673"/>
      <c r="G27" s="674"/>
      <c r="H27" s="674"/>
      <c r="I27" s="674"/>
      <c r="J27" s="674"/>
      <c r="K27" s="674"/>
      <c r="L27" s="675"/>
      <c r="M27" s="65"/>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row>
    <row r="28" spans="1:55" s="12" customFormat="1" ht="272.25" customHeight="1" thickBot="1">
      <c r="A28" s="21"/>
      <c r="B28" s="64"/>
      <c r="C28" s="61"/>
      <c r="D28" s="175"/>
      <c r="E28" s="339"/>
      <c r="F28" s="676"/>
      <c r="G28" s="677"/>
      <c r="H28" s="677"/>
      <c r="I28" s="677"/>
      <c r="J28" s="677"/>
      <c r="K28" s="677"/>
      <c r="L28" s="678"/>
      <c r="M28" s="65"/>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row>
    <row r="29" spans="1:55" s="12" customFormat="1" ht="15">
      <c r="A29" s="21"/>
      <c r="B29" s="64"/>
      <c r="C29" s="61"/>
      <c r="D29" s="175"/>
      <c r="E29" s="339"/>
      <c r="F29" s="339"/>
      <c r="G29" s="339"/>
      <c r="H29" s="339"/>
      <c r="I29" s="339"/>
      <c r="J29" s="339"/>
      <c r="K29" s="349"/>
      <c r="L29" s="349"/>
      <c r="M29" s="65"/>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15" customHeight="1">
      <c r="A30" s="22"/>
      <c r="B30" s="64"/>
      <c r="C30" s="61"/>
      <c r="D30" s="134"/>
      <c r="E30" s="134"/>
      <c r="F30" s="134"/>
      <c r="G30" s="134"/>
      <c r="H30" s="134"/>
      <c r="I30" s="134"/>
      <c r="J30" s="134"/>
      <c r="K30" s="349"/>
      <c r="L30" s="349"/>
      <c r="M30" s="69"/>
      <c r="N30" s="6"/>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row>
    <row r="31" spans="1:55" ht="15.75" customHeight="1" thickBot="1">
      <c r="A31" s="22"/>
      <c r="B31" s="64"/>
      <c r="C31" s="61"/>
      <c r="D31" s="67"/>
      <c r="E31" s="348"/>
      <c r="F31" s="643" t="s">
        <v>284</v>
      </c>
      <c r="G31" s="643"/>
      <c r="H31" s="350"/>
      <c r="I31" s="643" t="s">
        <v>291</v>
      </c>
      <c r="J31" s="643"/>
      <c r="K31" s="350" t="s">
        <v>292</v>
      </c>
      <c r="L31" s="350" t="s">
        <v>233</v>
      </c>
      <c r="M31" s="65"/>
      <c r="N31" s="6"/>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row>
    <row r="32" spans="1:55" ht="120.75" thickBot="1">
      <c r="A32" s="22"/>
      <c r="B32" s="64"/>
      <c r="C32" s="61"/>
      <c r="D32" s="328" t="s">
        <v>282</v>
      </c>
      <c r="E32" s="361"/>
      <c r="F32" s="644" t="s">
        <v>609</v>
      </c>
      <c r="G32" s="645"/>
      <c r="H32" s="368" t="s">
        <v>596</v>
      </c>
      <c r="I32" s="635" t="s">
        <v>523</v>
      </c>
      <c r="J32" s="636"/>
      <c r="K32" s="369" t="s">
        <v>524</v>
      </c>
      <c r="L32" s="370" t="s">
        <v>20</v>
      </c>
      <c r="M32" s="65"/>
      <c r="N32" s="6"/>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row>
    <row r="33" spans="1:55" s="322" customFormat="1" ht="66.75" customHeight="1" thickBot="1">
      <c r="A33" s="22"/>
      <c r="B33" s="324"/>
      <c r="C33" s="61"/>
      <c r="D33" s="328"/>
      <c r="E33" s="361"/>
      <c r="F33" s="646"/>
      <c r="G33" s="647"/>
      <c r="H33" s="371" t="s">
        <v>569</v>
      </c>
      <c r="I33" s="635" t="s">
        <v>547</v>
      </c>
      <c r="J33" s="636"/>
      <c r="K33" s="372" t="s">
        <v>548</v>
      </c>
      <c r="L33" s="370" t="s">
        <v>20</v>
      </c>
      <c r="M33" s="325"/>
      <c r="N33" s="6"/>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row>
    <row r="34" spans="1:55" ht="165" customHeight="1" thickBot="1">
      <c r="A34" s="22"/>
      <c r="B34" s="64"/>
      <c r="C34" s="61"/>
      <c r="D34" s="328"/>
      <c r="E34" s="361"/>
      <c r="F34" s="644" t="s">
        <v>610</v>
      </c>
      <c r="G34" s="645"/>
      <c r="H34" s="368" t="s">
        <v>597</v>
      </c>
      <c r="I34" s="630" t="s">
        <v>549</v>
      </c>
      <c r="J34" s="631"/>
      <c r="K34" s="373" t="s">
        <v>551</v>
      </c>
      <c r="L34" s="370" t="s">
        <v>20</v>
      </c>
      <c r="M34" s="65"/>
      <c r="N34" s="6"/>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s="322" customFormat="1" ht="125.25" customHeight="1" thickBot="1">
      <c r="A35" s="22"/>
      <c r="B35" s="324"/>
      <c r="C35" s="61"/>
      <c r="D35" s="328"/>
      <c r="E35" s="361"/>
      <c r="F35" s="646"/>
      <c r="G35" s="647"/>
      <c r="H35" s="371" t="s">
        <v>561</v>
      </c>
      <c r="I35" s="630" t="s">
        <v>550</v>
      </c>
      <c r="J35" s="631"/>
      <c r="K35" s="372" t="s">
        <v>604</v>
      </c>
      <c r="L35" s="370" t="s">
        <v>20</v>
      </c>
      <c r="M35" s="325"/>
      <c r="N35" s="6"/>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190.5" customHeight="1" thickBot="1">
      <c r="A36" s="22"/>
      <c r="B36" s="64"/>
      <c r="C36" s="61"/>
      <c r="D36" s="328"/>
      <c r="E36" s="361"/>
      <c r="F36" s="637" t="s">
        <v>611</v>
      </c>
      <c r="G36" s="638"/>
      <c r="H36" s="374" t="s">
        <v>598</v>
      </c>
      <c r="I36" s="641" t="s">
        <v>573</v>
      </c>
      <c r="J36" s="642"/>
      <c r="K36" s="357" t="s">
        <v>574</v>
      </c>
      <c r="L36" s="370" t="s">
        <v>20</v>
      </c>
      <c r="M36" s="65"/>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s="322" customFormat="1" ht="190.5" customHeight="1" thickBot="1">
      <c r="A37" s="22"/>
      <c r="B37" s="324"/>
      <c r="C37" s="61"/>
      <c r="D37" s="336"/>
      <c r="E37" s="361"/>
      <c r="F37" s="639"/>
      <c r="G37" s="640"/>
      <c r="H37" s="375" t="s">
        <v>599</v>
      </c>
      <c r="I37" s="630" t="s">
        <v>578</v>
      </c>
      <c r="J37" s="631"/>
      <c r="K37" s="372" t="s">
        <v>488</v>
      </c>
      <c r="L37" s="370"/>
      <c r="M37" s="325"/>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row>
    <row r="38" spans="1:55" s="322" customFormat="1" ht="105.75" thickBot="1">
      <c r="A38" s="22"/>
      <c r="B38" s="324"/>
      <c r="C38" s="61"/>
      <c r="D38" s="328"/>
      <c r="E38" s="361"/>
      <c r="F38" s="644" t="s">
        <v>612</v>
      </c>
      <c r="G38" s="645"/>
      <c r="H38" s="368" t="s">
        <v>600</v>
      </c>
      <c r="I38" s="630" t="s">
        <v>465</v>
      </c>
      <c r="J38" s="631"/>
      <c r="K38" s="372" t="s">
        <v>552</v>
      </c>
      <c r="L38" s="370" t="s">
        <v>20</v>
      </c>
      <c r="M38" s="325"/>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row>
    <row r="39" spans="1:55" ht="126.75" customHeight="1" thickBot="1">
      <c r="A39" s="22"/>
      <c r="B39" s="64"/>
      <c r="C39" s="61"/>
      <c r="D39" s="328"/>
      <c r="E39" s="361"/>
      <c r="F39" s="646"/>
      <c r="G39" s="647"/>
      <c r="H39" s="371" t="s">
        <v>601</v>
      </c>
      <c r="I39" s="635" t="s">
        <v>466</v>
      </c>
      <c r="J39" s="636"/>
      <c r="K39" s="376" t="s">
        <v>489</v>
      </c>
      <c r="L39" s="370" t="s">
        <v>20</v>
      </c>
      <c r="M39" s="65"/>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row>
    <row r="40" spans="1:55" ht="39.75" customHeight="1" thickBot="1">
      <c r="A40" s="22"/>
      <c r="B40" s="64"/>
      <c r="C40" s="61"/>
      <c r="D40" s="61"/>
      <c r="E40" s="348"/>
      <c r="F40" s="348"/>
      <c r="G40" s="348"/>
      <c r="H40" s="348"/>
      <c r="I40" s="348"/>
      <c r="J40" s="348"/>
      <c r="K40" s="363" t="s">
        <v>285</v>
      </c>
      <c r="L40" s="377" t="s">
        <v>20</v>
      </c>
      <c r="M40" s="65"/>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row>
    <row r="41" spans="1:55" ht="15.75" thickBot="1">
      <c r="A41" s="22"/>
      <c r="B41" s="64"/>
      <c r="C41" s="61"/>
      <c r="D41" s="61"/>
      <c r="E41" s="348"/>
      <c r="F41" s="365"/>
      <c r="G41" s="366" t="s">
        <v>329</v>
      </c>
      <c r="H41" s="366"/>
      <c r="I41" s="348"/>
      <c r="J41" s="348"/>
      <c r="K41" s="378"/>
      <c r="L41" s="348"/>
      <c r="M41" s="65"/>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row>
    <row r="42" spans="1:55" ht="15.75" thickBot="1">
      <c r="A42" s="22"/>
      <c r="B42" s="64"/>
      <c r="C42" s="61"/>
      <c r="D42" s="61"/>
      <c r="E42" s="348"/>
      <c r="F42" s="367" t="s">
        <v>60</v>
      </c>
      <c r="G42" s="619" t="s">
        <v>566</v>
      </c>
      <c r="H42" s="620"/>
      <c r="I42" s="620"/>
      <c r="J42" s="620"/>
      <c r="K42" s="621"/>
      <c r="L42" s="348"/>
      <c r="M42" s="65"/>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row>
    <row r="43" spans="1:55" ht="15.75" thickBot="1">
      <c r="A43" s="22"/>
      <c r="B43" s="64"/>
      <c r="C43" s="61"/>
      <c r="D43" s="61"/>
      <c r="E43" s="348"/>
      <c r="F43" s="367" t="s">
        <v>62</v>
      </c>
      <c r="G43" s="632" t="s">
        <v>567</v>
      </c>
      <c r="H43" s="633"/>
      <c r="I43" s="620"/>
      <c r="J43" s="620"/>
      <c r="K43" s="621"/>
      <c r="L43" s="348"/>
      <c r="M43" s="65"/>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row>
    <row r="44" spans="1:55" ht="15">
      <c r="A44" s="22"/>
      <c r="B44" s="64"/>
      <c r="C44" s="61"/>
      <c r="D44" s="61"/>
      <c r="E44" s="348"/>
      <c r="F44" s="348"/>
      <c r="G44" s="348"/>
      <c r="H44" s="348"/>
      <c r="I44" s="348"/>
      <c r="J44" s="348"/>
      <c r="K44" s="378"/>
      <c r="L44" s="348"/>
      <c r="M44" s="65"/>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row>
    <row r="45" spans="1:55" ht="15.75" customHeight="1" thickBot="1">
      <c r="A45" s="22"/>
      <c r="B45" s="64"/>
      <c r="C45" s="61"/>
      <c r="D45" s="67"/>
      <c r="E45" s="348"/>
      <c r="F45" s="634" t="s">
        <v>284</v>
      </c>
      <c r="G45" s="634"/>
      <c r="H45" s="379"/>
      <c r="I45" s="634" t="s">
        <v>291</v>
      </c>
      <c r="J45" s="634"/>
      <c r="K45" s="350" t="s">
        <v>292</v>
      </c>
      <c r="L45" s="350" t="s">
        <v>233</v>
      </c>
      <c r="M45" s="65"/>
      <c r="N45" s="6"/>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row>
    <row r="46" spans="1:55" ht="39.75" customHeight="1" thickBot="1">
      <c r="A46" s="22"/>
      <c r="B46" s="64"/>
      <c r="C46" s="61"/>
      <c r="D46" s="328" t="s">
        <v>333</v>
      </c>
      <c r="E46" s="361"/>
      <c r="F46" s="628"/>
      <c r="G46" s="629"/>
      <c r="H46" s="380"/>
      <c r="I46" s="628"/>
      <c r="J46" s="629"/>
      <c r="K46" s="381"/>
      <c r="L46" s="381"/>
      <c r="M46" s="65"/>
      <c r="N46" s="6"/>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row>
    <row r="47" spans="1:55" ht="39.75" customHeight="1" thickBot="1">
      <c r="A47" s="22"/>
      <c r="B47" s="64"/>
      <c r="C47" s="61"/>
      <c r="D47" s="328"/>
      <c r="E47" s="361"/>
      <c r="F47" s="628"/>
      <c r="G47" s="629"/>
      <c r="H47" s="380"/>
      <c r="I47" s="628"/>
      <c r="J47" s="629"/>
      <c r="K47" s="381"/>
      <c r="L47" s="381"/>
      <c r="M47" s="65"/>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row>
    <row r="48" spans="1:55" ht="48" customHeight="1" thickBot="1">
      <c r="A48" s="22"/>
      <c r="B48" s="64"/>
      <c r="C48" s="61"/>
      <c r="D48" s="328"/>
      <c r="E48" s="361"/>
      <c r="F48" s="628"/>
      <c r="G48" s="629"/>
      <c r="H48" s="380"/>
      <c r="I48" s="628"/>
      <c r="J48" s="629"/>
      <c r="K48" s="381"/>
      <c r="L48" s="381"/>
      <c r="M48" s="65"/>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row>
    <row r="49" spans="1:55" ht="25.5" customHeight="1" thickBot="1">
      <c r="A49" s="22"/>
      <c r="B49" s="64"/>
      <c r="C49" s="61"/>
      <c r="D49" s="61"/>
      <c r="E49" s="348"/>
      <c r="F49" s="348"/>
      <c r="G49" s="348"/>
      <c r="H49" s="348"/>
      <c r="I49" s="348"/>
      <c r="J49" s="348"/>
      <c r="K49" s="363" t="s">
        <v>285</v>
      </c>
      <c r="L49" s="382"/>
      <c r="M49" s="65"/>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row>
    <row r="50" spans="1:55" ht="15.75" thickBot="1">
      <c r="A50" s="22"/>
      <c r="B50" s="64"/>
      <c r="C50" s="61"/>
      <c r="D50" s="61"/>
      <c r="E50" s="348"/>
      <c r="F50" s="365"/>
      <c r="G50" s="366" t="s">
        <v>329</v>
      </c>
      <c r="H50" s="366"/>
      <c r="I50" s="348"/>
      <c r="J50" s="348"/>
      <c r="K50" s="378"/>
      <c r="L50" s="348"/>
      <c r="M50" s="65"/>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row>
    <row r="51" spans="1:55" ht="15.75" thickBot="1">
      <c r="A51" s="22"/>
      <c r="B51" s="64"/>
      <c r="C51" s="61"/>
      <c r="D51" s="61"/>
      <c r="E51" s="348"/>
      <c r="F51" s="367" t="s">
        <v>60</v>
      </c>
      <c r="G51" s="619"/>
      <c r="H51" s="620"/>
      <c r="I51" s="620"/>
      <c r="J51" s="620"/>
      <c r="K51" s="621"/>
      <c r="L51" s="348"/>
      <c r="M51" s="65"/>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row>
    <row r="52" spans="1:55" ht="15.75" thickBot="1">
      <c r="A52" s="22"/>
      <c r="B52" s="64"/>
      <c r="C52" s="61"/>
      <c r="D52" s="61"/>
      <c r="E52" s="348"/>
      <c r="F52" s="367" t="s">
        <v>62</v>
      </c>
      <c r="G52" s="619"/>
      <c r="H52" s="620"/>
      <c r="I52" s="620"/>
      <c r="J52" s="620"/>
      <c r="K52" s="621"/>
      <c r="L52" s="348"/>
      <c r="M52" s="65"/>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row>
    <row r="53" spans="1:55" ht="15">
      <c r="A53" s="22"/>
      <c r="B53" s="64"/>
      <c r="C53" s="61"/>
      <c r="D53" s="61"/>
      <c r="E53" s="348"/>
      <c r="F53" s="367"/>
      <c r="G53" s="348"/>
      <c r="H53" s="348"/>
      <c r="I53" s="348"/>
      <c r="J53" s="348"/>
      <c r="K53" s="348"/>
      <c r="L53" s="348"/>
      <c r="M53" s="65"/>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row>
    <row r="54" spans="1:55" ht="13.5" customHeight="1" thickBot="1">
      <c r="A54" s="22"/>
      <c r="B54" s="64"/>
      <c r="C54" s="61"/>
      <c r="D54" s="61"/>
      <c r="E54" s="348"/>
      <c r="F54" s="348"/>
      <c r="G54" s="348"/>
      <c r="H54" s="348"/>
      <c r="I54" s="348"/>
      <c r="J54" s="348"/>
      <c r="K54" s="378"/>
      <c r="L54" s="348"/>
      <c r="M54" s="65"/>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row>
    <row r="55" spans="1:55" ht="18" customHeight="1" hidden="1" thickBot="1">
      <c r="A55" s="22"/>
      <c r="B55" s="64"/>
      <c r="C55" s="61"/>
      <c r="D55" s="61"/>
      <c r="E55" s="348"/>
      <c r="F55" s="348"/>
      <c r="G55" s="348"/>
      <c r="H55" s="348"/>
      <c r="I55" s="348"/>
      <c r="J55" s="348"/>
      <c r="K55" s="378"/>
      <c r="L55" s="348"/>
      <c r="M55" s="65"/>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row>
    <row r="56" spans="1:55" ht="409.5" customHeight="1" thickBot="1">
      <c r="A56" s="22"/>
      <c r="B56" s="64"/>
      <c r="C56" s="61"/>
      <c r="D56" s="136"/>
      <c r="E56" s="383"/>
      <c r="F56" s="622" t="s">
        <v>293</v>
      </c>
      <c r="G56" s="622"/>
      <c r="H56" s="341"/>
      <c r="I56" s="623" t="s">
        <v>579</v>
      </c>
      <c r="J56" s="624"/>
      <c r="K56" s="624"/>
      <c r="L56" s="625"/>
      <c r="M56" s="65"/>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row>
    <row r="57" spans="1:55" s="12" customFormat="1" ht="38.25" customHeight="1">
      <c r="A57" s="21"/>
      <c r="B57" s="64"/>
      <c r="C57" s="61"/>
      <c r="D57" s="70"/>
      <c r="E57" s="78"/>
      <c r="F57" s="78"/>
      <c r="G57" s="78"/>
      <c r="H57" s="78"/>
      <c r="I57" s="78"/>
      <c r="J57" s="78"/>
      <c r="K57" s="349"/>
      <c r="L57" s="349"/>
      <c r="M57" s="65"/>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row>
    <row r="58" spans="1:55" s="12" customFormat="1" ht="47.25" customHeight="1" thickBot="1">
      <c r="A58" s="21"/>
      <c r="B58" s="64"/>
      <c r="C58" s="61"/>
      <c r="D58" s="61"/>
      <c r="E58" s="348"/>
      <c r="F58" s="77"/>
      <c r="G58" s="77"/>
      <c r="H58" s="77"/>
      <c r="I58" s="77"/>
      <c r="J58" s="384" t="s">
        <v>226</v>
      </c>
      <c r="K58" s="349"/>
      <c r="L58" s="349"/>
      <c r="M58" s="65"/>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row>
    <row r="59" spans="1:55" s="12" customFormat="1" ht="85.5" customHeight="1">
      <c r="A59" s="21"/>
      <c r="B59" s="64"/>
      <c r="C59" s="61"/>
      <c r="D59" s="61"/>
      <c r="E59" s="348"/>
      <c r="F59" s="77"/>
      <c r="G59" s="77"/>
      <c r="H59" s="77"/>
      <c r="I59" s="77"/>
      <c r="J59" s="385" t="s">
        <v>227</v>
      </c>
      <c r="K59" s="626" t="s">
        <v>467</v>
      </c>
      <c r="L59" s="627"/>
      <c r="M59" s="65"/>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row>
    <row r="60" spans="1:55" s="12" customFormat="1" ht="54.75" customHeight="1">
      <c r="A60" s="21"/>
      <c r="B60" s="64"/>
      <c r="C60" s="61"/>
      <c r="D60" s="61"/>
      <c r="E60" s="348"/>
      <c r="F60" s="77"/>
      <c r="G60" s="77"/>
      <c r="H60" s="77"/>
      <c r="I60" s="77"/>
      <c r="J60" s="355" t="s">
        <v>228</v>
      </c>
      <c r="K60" s="615" t="s">
        <v>443</v>
      </c>
      <c r="L60" s="616"/>
      <c r="M60" s="65"/>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row>
    <row r="61" spans="1:55" s="12" customFormat="1" ht="58.5" customHeight="1">
      <c r="A61" s="21"/>
      <c r="B61" s="64"/>
      <c r="C61" s="61"/>
      <c r="D61" s="61"/>
      <c r="E61" s="348"/>
      <c r="F61" s="77"/>
      <c r="G61" s="77"/>
      <c r="H61" s="77"/>
      <c r="I61" s="77"/>
      <c r="J61" s="355" t="s">
        <v>229</v>
      </c>
      <c r="K61" s="615" t="s">
        <v>444</v>
      </c>
      <c r="L61" s="616"/>
      <c r="M61" s="65"/>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row>
    <row r="62" spans="1:55" ht="60" customHeight="1">
      <c r="A62" s="22"/>
      <c r="B62" s="64"/>
      <c r="C62" s="61"/>
      <c r="D62" s="61"/>
      <c r="E62" s="348"/>
      <c r="F62" s="77"/>
      <c r="G62" s="77"/>
      <c r="H62" s="77"/>
      <c r="I62" s="77"/>
      <c r="J62" s="355" t="s">
        <v>230</v>
      </c>
      <c r="K62" s="615" t="s">
        <v>445</v>
      </c>
      <c r="L62" s="616"/>
      <c r="M62" s="65"/>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row>
    <row r="63" spans="1:55" ht="54" customHeight="1">
      <c r="A63" s="22"/>
      <c r="B63" s="59"/>
      <c r="C63" s="62"/>
      <c r="D63" s="61"/>
      <c r="E63" s="348"/>
      <c r="F63" s="77"/>
      <c r="G63" s="77"/>
      <c r="H63" s="77"/>
      <c r="I63" s="77"/>
      <c r="J63" s="355" t="s">
        <v>231</v>
      </c>
      <c r="K63" s="615" t="s">
        <v>468</v>
      </c>
      <c r="L63" s="616"/>
      <c r="M63" s="6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row>
    <row r="64" spans="1:55" ht="30.75" customHeight="1" thickBot="1">
      <c r="A64" s="22"/>
      <c r="B64" s="59"/>
      <c r="C64" s="62"/>
      <c r="D64" s="61"/>
      <c r="E64" s="348"/>
      <c r="F64" s="77"/>
      <c r="G64" s="77"/>
      <c r="H64" s="77"/>
      <c r="I64" s="77"/>
      <c r="J64" s="371" t="s">
        <v>232</v>
      </c>
      <c r="K64" s="617" t="s">
        <v>446</v>
      </c>
      <c r="L64" s="618"/>
      <c r="M64" s="6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row>
    <row r="65" spans="1:55" ht="15">
      <c r="A65" s="22"/>
      <c r="B65" s="59"/>
      <c r="C65" s="62"/>
      <c r="D65" s="61"/>
      <c r="E65" s="348"/>
      <c r="F65" s="77"/>
      <c r="G65" s="77"/>
      <c r="H65" s="77"/>
      <c r="I65" s="77"/>
      <c r="J65" s="77"/>
      <c r="K65" s="349"/>
      <c r="L65" s="349"/>
      <c r="M65" s="6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row>
    <row r="66" spans="1:55" ht="15">
      <c r="A66" s="22"/>
      <c r="B66" s="59"/>
      <c r="C66" s="62"/>
      <c r="D66" s="61"/>
      <c r="E66" s="348"/>
      <c r="F66" s="77"/>
      <c r="G66" s="77"/>
      <c r="H66" s="77"/>
      <c r="I66" s="77"/>
      <c r="J66" s="77"/>
      <c r="K66" s="349"/>
      <c r="L66" s="349"/>
      <c r="M66" s="6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row>
    <row r="67" spans="1:47" ht="15.75" thickBot="1">
      <c r="A67" s="22"/>
      <c r="B67" s="71"/>
      <c r="C67" s="106"/>
      <c r="D67" s="72"/>
      <c r="E67" s="386"/>
      <c r="F67" s="387"/>
      <c r="G67" s="387"/>
      <c r="H67" s="387"/>
      <c r="I67" s="387"/>
      <c r="J67" s="387"/>
      <c r="K67" s="388"/>
      <c r="L67" s="388"/>
      <c r="M67" s="74"/>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row>
    <row r="68" spans="1:47" ht="49.5" customHeight="1">
      <c r="A68" s="22"/>
      <c r="D68" s="120"/>
      <c r="E68" s="344"/>
      <c r="F68" s="344"/>
      <c r="G68" s="344"/>
      <c r="H68" s="344"/>
      <c r="I68" s="344"/>
      <c r="J68" s="344"/>
      <c r="K68" s="344"/>
      <c r="L68" s="344"/>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row>
    <row r="69" spans="1:47" ht="49.5" customHeight="1">
      <c r="A69" s="22"/>
      <c r="D69" s="120"/>
      <c r="E69" s="344"/>
      <c r="F69" s="344"/>
      <c r="G69" s="344"/>
      <c r="H69" s="344"/>
      <c r="I69" s="344"/>
      <c r="J69" s="344"/>
      <c r="K69" s="344"/>
      <c r="L69" s="344"/>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row>
    <row r="70" spans="1:47" ht="49.5" customHeight="1">
      <c r="A70" s="22"/>
      <c r="D70" s="120"/>
      <c r="E70" s="344"/>
      <c r="F70" s="344"/>
      <c r="G70" s="344"/>
      <c r="H70" s="344"/>
      <c r="I70" s="344"/>
      <c r="J70" s="344"/>
      <c r="K70" s="344"/>
      <c r="L70" s="344"/>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row>
    <row r="71" spans="1:47" ht="49.5" customHeight="1">
      <c r="A71" s="22"/>
      <c r="D71" s="120"/>
      <c r="E71" s="344"/>
      <c r="F71" s="344"/>
      <c r="G71" s="344"/>
      <c r="H71" s="344"/>
      <c r="I71" s="344"/>
      <c r="J71" s="344"/>
      <c r="K71" s="344"/>
      <c r="L71" s="344"/>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row>
    <row r="72" spans="1:47" ht="49.5" customHeight="1">
      <c r="A72" s="22"/>
      <c r="D72" s="120"/>
      <c r="E72" s="344"/>
      <c r="F72" s="344"/>
      <c r="G72" s="344"/>
      <c r="H72" s="344"/>
      <c r="I72" s="344"/>
      <c r="J72" s="344"/>
      <c r="K72" s="344"/>
      <c r="L72" s="344"/>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row>
    <row r="73" spans="1:47" ht="49.5" customHeight="1">
      <c r="A73" s="22"/>
      <c r="D73" s="120"/>
      <c r="E73" s="344"/>
      <c r="F73" s="344"/>
      <c r="G73" s="344"/>
      <c r="H73" s="344"/>
      <c r="I73" s="344"/>
      <c r="J73" s="344"/>
      <c r="K73" s="344"/>
      <c r="L73" s="344"/>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row>
    <row r="74" spans="1:47" ht="15">
      <c r="A74" s="22"/>
      <c r="D74" s="120"/>
      <c r="E74" s="344"/>
      <c r="F74" s="344"/>
      <c r="G74" s="344"/>
      <c r="H74" s="344"/>
      <c r="I74" s="344"/>
      <c r="J74" s="344"/>
      <c r="K74" s="344"/>
      <c r="L74" s="344"/>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row>
    <row r="75" spans="1:47" ht="15">
      <c r="A75" s="22"/>
      <c r="D75" s="120"/>
      <c r="E75" s="344"/>
      <c r="F75" s="344"/>
      <c r="G75" s="344"/>
      <c r="H75" s="344"/>
      <c r="I75" s="344"/>
      <c r="J75" s="344"/>
      <c r="K75" s="344"/>
      <c r="L75" s="344"/>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row>
    <row r="76" spans="1:47" ht="15">
      <c r="A76" s="22"/>
      <c r="D76" s="120"/>
      <c r="E76" s="344"/>
      <c r="F76" s="344"/>
      <c r="G76" s="344"/>
      <c r="H76" s="344"/>
      <c r="I76" s="344"/>
      <c r="J76" s="344"/>
      <c r="K76" s="344"/>
      <c r="L76" s="344"/>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row>
    <row r="77" spans="1:55" ht="15">
      <c r="A77" s="120"/>
      <c r="D77" s="120"/>
      <c r="E77" s="344"/>
      <c r="F77" s="344"/>
      <c r="G77" s="344"/>
      <c r="H77" s="344"/>
      <c r="I77" s="344"/>
      <c r="J77" s="344"/>
      <c r="K77" s="344"/>
      <c r="L77" s="344"/>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5">
      <c r="A78" s="120"/>
      <c r="B78" s="120"/>
      <c r="C78" s="120"/>
      <c r="D78" s="120"/>
      <c r="E78" s="344"/>
      <c r="F78" s="344"/>
      <c r="G78" s="344"/>
      <c r="H78" s="344"/>
      <c r="I78" s="344"/>
      <c r="J78" s="344"/>
      <c r="K78" s="344"/>
      <c r="L78" s="344"/>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row>
    <row r="79" spans="1:55" ht="15">
      <c r="A79" s="120"/>
      <c r="B79" s="120"/>
      <c r="C79" s="120"/>
      <c r="D79" s="120"/>
      <c r="E79" s="344"/>
      <c r="F79" s="344"/>
      <c r="G79" s="344"/>
      <c r="H79" s="344"/>
      <c r="I79" s="344"/>
      <c r="J79" s="344"/>
      <c r="K79" s="344"/>
      <c r="L79" s="344"/>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row>
    <row r="80" spans="1:55" ht="15">
      <c r="A80" s="120"/>
      <c r="B80" s="120"/>
      <c r="C80" s="120"/>
      <c r="D80" s="120"/>
      <c r="E80" s="344"/>
      <c r="F80" s="344"/>
      <c r="G80" s="344"/>
      <c r="H80" s="344"/>
      <c r="I80" s="344"/>
      <c r="J80" s="344"/>
      <c r="K80" s="344"/>
      <c r="L80" s="344"/>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row>
    <row r="81" spans="1:14" ht="15">
      <c r="A81" s="120"/>
      <c r="B81" s="120"/>
      <c r="C81" s="120"/>
      <c r="D81" s="120"/>
      <c r="E81" s="344"/>
      <c r="F81" s="344"/>
      <c r="G81" s="344"/>
      <c r="H81" s="344"/>
      <c r="I81" s="344"/>
      <c r="J81" s="344"/>
      <c r="K81" s="344"/>
      <c r="L81" s="344"/>
      <c r="M81" s="120"/>
      <c r="N81" s="120"/>
    </row>
    <row r="82" spans="1:14" ht="15">
      <c r="A82" s="120"/>
      <c r="B82" s="120"/>
      <c r="C82" s="120"/>
      <c r="D82" s="120"/>
      <c r="E82" s="344"/>
      <c r="F82" s="344"/>
      <c r="G82" s="344"/>
      <c r="H82" s="344"/>
      <c r="I82" s="344"/>
      <c r="J82" s="344"/>
      <c r="K82" s="344"/>
      <c r="L82" s="344"/>
      <c r="M82" s="120"/>
      <c r="N82" s="120"/>
    </row>
    <row r="83" spans="1:14" ht="15">
      <c r="A83" s="120"/>
      <c r="B83" s="120"/>
      <c r="C83" s="120"/>
      <c r="D83" s="120"/>
      <c r="E83" s="344"/>
      <c r="F83" s="344"/>
      <c r="G83" s="344"/>
      <c r="H83" s="344"/>
      <c r="I83" s="344"/>
      <c r="J83" s="344"/>
      <c r="K83" s="344"/>
      <c r="L83" s="344"/>
      <c r="M83" s="120"/>
      <c r="N83" s="120"/>
    </row>
    <row r="84" spans="1:14" ht="15">
      <c r="A84" s="120"/>
      <c r="B84" s="120"/>
      <c r="C84" s="120"/>
      <c r="D84" s="120"/>
      <c r="E84" s="344"/>
      <c r="F84" s="344"/>
      <c r="G84" s="344"/>
      <c r="H84" s="344"/>
      <c r="I84" s="344"/>
      <c r="J84" s="344"/>
      <c r="K84" s="344"/>
      <c r="L84" s="344"/>
      <c r="M84" s="120"/>
      <c r="N84" s="120"/>
    </row>
    <row r="85" spans="1:14" ht="15">
      <c r="A85" s="120"/>
      <c r="B85" s="120"/>
      <c r="C85" s="120"/>
      <c r="D85" s="120"/>
      <c r="E85" s="344"/>
      <c r="F85" s="344"/>
      <c r="G85" s="344"/>
      <c r="H85" s="344"/>
      <c r="I85" s="344"/>
      <c r="J85" s="344"/>
      <c r="K85" s="344"/>
      <c r="L85" s="344"/>
      <c r="M85" s="120"/>
      <c r="N85" s="120"/>
    </row>
    <row r="86" spans="1:14" ht="15">
      <c r="A86" s="120"/>
      <c r="B86" s="120"/>
      <c r="C86" s="120"/>
      <c r="D86" s="120"/>
      <c r="E86" s="344"/>
      <c r="F86" s="344"/>
      <c r="G86" s="344"/>
      <c r="H86" s="344"/>
      <c r="I86" s="344"/>
      <c r="J86" s="344"/>
      <c r="K86" s="344"/>
      <c r="L86" s="344"/>
      <c r="M86" s="120"/>
      <c r="N86" s="120"/>
    </row>
    <row r="87" spans="1:14" ht="15">
      <c r="A87" s="120"/>
      <c r="B87" s="120"/>
      <c r="C87" s="120"/>
      <c r="D87" s="120"/>
      <c r="E87" s="344"/>
      <c r="F87" s="344"/>
      <c r="G87" s="344"/>
      <c r="H87" s="344"/>
      <c r="I87" s="344"/>
      <c r="J87" s="344"/>
      <c r="K87" s="344"/>
      <c r="L87" s="344"/>
      <c r="M87" s="120"/>
      <c r="N87" s="120"/>
    </row>
    <row r="88" spans="1:14" ht="15">
      <c r="A88" s="120"/>
      <c r="B88" s="120"/>
      <c r="C88" s="120"/>
      <c r="D88" s="120"/>
      <c r="E88" s="344"/>
      <c r="F88" s="344"/>
      <c r="G88" s="344"/>
      <c r="H88" s="344"/>
      <c r="I88" s="344"/>
      <c r="J88" s="344"/>
      <c r="K88" s="344"/>
      <c r="L88" s="344"/>
      <c r="M88" s="120"/>
      <c r="N88" s="120"/>
    </row>
    <row r="89" spans="1:14" ht="15">
      <c r="A89" s="120"/>
      <c r="B89" s="120"/>
      <c r="C89" s="120"/>
      <c r="D89" s="120"/>
      <c r="E89" s="344"/>
      <c r="F89" s="344"/>
      <c r="G89" s="344"/>
      <c r="H89" s="344"/>
      <c r="I89" s="344"/>
      <c r="J89" s="344"/>
      <c r="K89" s="344"/>
      <c r="L89" s="344"/>
      <c r="M89" s="120"/>
      <c r="N89" s="120"/>
    </row>
    <row r="90" spans="1:14" ht="15">
      <c r="A90" s="120"/>
      <c r="B90" s="120"/>
      <c r="C90" s="120"/>
      <c r="D90" s="120"/>
      <c r="E90" s="344"/>
      <c r="F90" s="344"/>
      <c r="G90" s="344"/>
      <c r="H90" s="344"/>
      <c r="I90" s="344"/>
      <c r="J90" s="344"/>
      <c r="K90" s="344"/>
      <c r="L90" s="344"/>
      <c r="M90" s="120"/>
      <c r="N90" s="120"/>
    </row>
    <row r="91" spans="1:14" ht="15">
      <c r="A91" s="120"/>
      <c r="B91" s="120"/>
      <c r="C91" s="120"/>
      <c r="D91" s="120"/>
      <c r="E91" s="344"/>
      <c r="F91" s="344"/>
      <c r="G91" s="344"/>
      <c r="H91" s="344"/>
      <c r="I91" s="344"/>
      <c r="J91" s="344"/>
      <c r="K91" s="344"/>
      <c r="L91" s="344"/>
      <c r="M91" s="120"/>
      <c r="N91" s="120"/>
    </row>
    <row r="92" spans="1:14" ht="15">
      <c r="A92" s="120"/>
      <c r="B92" s="120"/>
      <c r="C92" s="120"/>
      <c r="D92" s="120"/>
      <c r="E92" s="344"/>
      <c r="F92" s="344"/>
      <c r="G92" s="344"/>
      <c r="H92" s="344"/>
      <c r="I92" s="344"/>
      <c r="J92" s="344"/>
      <c r="K92" s="344"/>
      <c r="L92" s="344"/>
      <c r="M92" s="120"/>
      <c r="N92" s="120"/>
    </row>
    <row r="93" spans="1:14" ht="15">
      <c r="A93" s="120"/>
      <c r="B93" s="120"/>
      <c r="C93" s="120"/>
      <c r="D93" s="120"/>
      <c r="E93" s="344"/>
      <c r="F93" s="344"/>
      <c r="G93" s="344"/>
      <c r="H93" s="344"/>
      <c r="I93" s="344"/>
      <c r="J93" s="344"/>
      <c r="K93" s="344"/>
      <c r="L93" s="344"/>
      <c r="M93" s="120"/>
      <c r="N93" s="120"/>
    </row>
    <row r="94" spans="1:14" ht="15">
      <c r="A94" s="120"/>
      <c r="B94" s="120"/>
      <c r="C94" s="120"/>
      <c r="D94" s="120"/>
      <c r="E94" s="344"/>
      <c r="F94" s="344"/>
      <c r="G94" s="344"/>
      <c r="H94" s="344"/>
      <c r="I94" s="344"/>
      <c r="J94" s="344"/>
      <c r="K94" s="344"/>
      <c r="L94" s="344"/>
      <c r="M94" s="120"/>
      <c r="N94" s="120"/>
    </row>
    <row r="95" spans="1:14" ht="15">
      <c r="A95" s="120"/>
      <c r="B95" s="120"/>
      <c r="C95" s="120"/>
      <c r="D95" s="120"/>
      <c r="E95" s="344"/>
      <c r="F95" s="344"/>
      <c r="G95" s="344"/>
      <c r="H95" s="344"/>
      <c r="I95" s="344"/>
      <c r="J95" s="344"/>
      <c r="K95" s="344"/>
      <c r="L95" s="344"/>
      <c r="M95" s="120"/>
      <c r="N95" s="120"/>
    </row>
    <row r="96" spans="1:14" ht="15">
      <c r="A96" s="120"/>
      <c r="B96" s="120"/>
      <c r="C96" s="120"/>
      <c r="D96" s="120"/>
      <c r="E96" s="344"/>
      <c r="F96" s="344"/>
      <c r="G96" s="344"/>
      <c r="H96" s="344"/>
      <c r="I96" s="344"/>
      <c r="J96" s="344"/>
      <c r="K96" s="344"/>
      <c r="L96" s="344"/>
      <c r="M96" s="120"/>
      <c r="N96" s="120"/>
    </row>
    <row r="97" spans="1:14" ht="15">
      <c r="A97" s="120"/>
      <c r="B97" s="120"/>
      <c r="C97" s="120"/>
      <c r="D97" s="120"/>
      <c r="E97" s="344"/>
      <c r="F97" s="344"/>
      <c r="G97" s="344"/>
      <c r="H97" s="344"/>
      <c r="I97" s="344"/>
      <c r="J97" s="344"/>
      <c r="K97" s="344"/>
      <c r="L97" s="344"/>
      <c r="M97" s="120"/>
      <c r="N97" s="120"/>
    </row>
    <row r="98" spans="1:14" ht="15">
      <c r="A98" s="120"/>
      <c r="B98" s="120"/>
      <c r="C98" s="120"/>
      <c r="D98" s="120"/>
      <c r="E98" s="344"/>
      <c r="F98" s="344"/>
      <c r="G98" s="344"/>
      <c r="H98" s="344"/>
      <c r="I98" s="344"/>
      <c r="J98" s="344"/>
      <c r="K98" s="344"/>
      <c r="L98" s="344"/>
      <c r="M98" s="120"/>
      <c r="N98" s="120"/>
    </row>
    <row r="99" spans="1:14" ht="15">
      <c r="A99" s="120"/>
      <c r="B99" s="120"/>
      <c r="C99" s="120"/>
      <c r="D99" s="120"/>
      <c r="E99" s="344"/>
      <c r="F99" s="344"/>
      <c r="G99" s="344"/>
      <c r="H99" s="344"/>
      <c r="I99" s="344"/>
      <c r="J99" s="344"/>
      <c r="K99" s="344"/>
      <c r="L99" s="344"/>
      <c r="M99" s="120"/>
      <c r="N99" s="120"/>
    </row>
    <row r="100" spans="1:14" ht="15">
      <c r="A100" s="120"/>
      <c r="B100" s="120"/>
      <c r="C100" s="120"/>
      <c r="D100" s="120"/>
      <c r="E100" s="344"/>
      <c r="F100" s="344"/>
      <c r="G100" s="344"/>
      <c r="H100" s="344"/>
      <c r="I100" s="344"/>
      <c r="J100" s="344"/>
      <c r="K100" s="344"/>
      <c r="L100" s="344"/>
      <c r="M100" s="120"/>
      <c r="N100" s="120"/>
    </row>
    <row r="101" spans="1:14" ht="15">
      <c r="A101" s="120"/>
      <c r="B101" s="120"/>
      <c r="C101" s="120"/>
      <c r="D101" s="120"/>
      <c r="E101" s="344"/>
      <c r="F101" s="344"/>
      <c r="G101" s="344"/>
      <c r="H101" s="344"/>
      <c r="I101" s="344"/>
      <c r="J101" s="344"/>
      <c r="K101" s="344"/>
      <c r="L101" s="344"/>
      <c r="M101" s="120"/>
      <c r="N101" s="120"/>
    </row>
    <row r="102" spans="1:14" ht="15">
      <c r="A102" s="120"/>
      <c r="B102" s="120"/>
      <c r="C102" s="120"/>
      <c r="D102" s="120"/>
      <c r="E102" s="344"/>
      <c r="F102" s="344"/>
      <c r="G102" s="344"/>
      <c r="H102" s="344"/>
      <c r="I102" s="344"/>
      <c r="J102" s="344"/>
      <c r="K102" s="344"/>
      <c r="L102" s="344"/>
      <c r="M102" s="120"/>
      <c r="N102" s="120"/>
    </row>
    <row r="103" spans="1:14" ht="15">
      <c r="A103" s="120"/>
      <c r="B103" s="120"/>
      <c r="C103" s="120"/>
      <c r="D103" s="120"/>
      <c r="E103" s="344"/>
      <c r="F103" s="344"/>
      <c r="G103" s="344"/>
      <c r="H103" s="344"/>
      <c r="I103" s="344"/>
      <c r="J103" s="344"/>
      <c r="K103" s="344"/>
      <c r="L103" s="344"/>
      <c r="M103" s="120"/>
      <c r="N103" s="120"/>
    </row>
    <row r="104" spans="1:14" ht="15">
      <c r="A104" s="120"/>
      <c r="B104" s="120"/>
      <c r="C104" s="120"/>
      <c r="D104" s="120"/>
      <c r="E104" s="344"/>
      <c r="F104" s="344"/>
      <c r="G104" s="344"/>
      <c r="H104" s="344"/>
      <c r="I104" s="344"/>
      <c r="J104" s="344"/>
      <c r="K104" s="344"/>
      <c r="L104" s="344"/>
      <c r="M104" s="120"/>
      <c r="N104" s="120"/>
    </row>
    <row r="105" spans="1:14" ht="15">
      <c r="A105" s="120"/>
      <c r="B105" s="120"/>
      <c r="C105" s="120"/>
      <c r="D105" s="120"/>
      <c r="E105" s="344"/>
      <c r="F105" s="344"/>
      <c r="G105" s="344"/>
      <c r="H105" s="344"/>
      <c r="I105" s="344"/>
      <c r="J105" s="344"/>
      <c r="K105" s="344"/>
      <c r="L105" s="344"/>
      <c r="M105" s="120"/>
      <c r="N105" s="120"/>
    </row>
    <row r="106" spans="1:14" ht="15">
      <c r="A106" s="120"/>
      <c r="B106" s="120"/>
      <c r="C106" s="120"/>
      <c r="D106" s="120"/>
      <c r="E106" s="344"/>
      <c r="F106" s="344"/>
      <c r="G106" s="344"/>
      <c r="H106" s="344"/>
      <c r="I106" s="344"/>
      <c r="J106" s="344"/>
      <c r="K106" s="344"/>
      <c r="L106" s="344"/>
      <c r="M106" s="120"/>
      <c r="N106" s="120"/>
    </row>
    <row r="107" spans="1:14" ht="15">
      <c r="A107" s="120"/>
      <c r="B107" s="120"/>
      <c r="C107" s="120"/>
      <c r="D107" s="120"/>
      <c r="E107" s="344"/>
      <c r="F107" s="344"/>
      <c r="G107" s="344"/>
      <c r="H107" s="344"/>
      <c r="I107" s="344"/>
      <c r="J107" s="344"/>
      <c r="K107" s="344"/>
      <c r="L107" s="344"/>
      <c r="M107" s="120"/>
      <c r="N107" s="120"/>
    </row>
    <row r="108" spans="1:14" ht="15">
      <c r="A108" s="120"/>
      <c r="B108" s="120"/>
      <c r="C108" s="120"/>
      <c r="D108" s="120"/>
      <c r="E108" s="344"/>
      <c r="F108" s="344"/>
      <c r="G108" s="344"/>
      <c r="H108" s="344"/>
      <c r="I108" s="344"/>
      <c r="J108" s="344"/>
      <c r="K108" s="344"/>
      <c r="L108" s="344"/>
      <c r="M108" s="120"/>
      <c r="N108" s="120"/>
    </row>
    <row r="109" spans="1:14" ht="15">
      <c r="A109" s="120"/>
      <c r="B109" s="120"/>
      <c r="C109" s="120"/>
      <c r="D109" s="120"/>
      <c r="E109" s="344"/>
      <c r="F109" s="344"/>
      <c r="G109" s="344"/>
      <c r="H109" s="344"/>
      <c r="I109" s="344"/>
      <c r="J109" s="344"/>
      <c r="K109" s="344"/>
      <c r="L109" s="344"/>
      <c r="M109" s="120"/>
      <c r="N109" s="120"/>
    </row>
    <row r="110" spans="1:14" ht="15">
      <c r="A110" s="120"/>
      <c r="B110" s="120"/>
      <c r="C110" s="120"/>
      <c r="D110" s="120"/>
      <c r="E110" s="344"/>
      <c r="F110" s="344"/>
      <c r="G110" s="344"/>
      <c r="H110" s="344"/>
      <c r="I110" s="344"/>
      <c r="J110" s="344"/>
      <c r="K110" s="344"/>
      <c r="L110" s="344"/>
      <c r="M110" s="120"/>
      <c r="N110" s="120"/>
    </row>
    <row r="111" spans="1:14" ht="15">
      <c r="A111" s="120"/>
      <c r="B111" s="120"/>
      <c r="C111" s="120"/>
      <c r="D111" s="120"/>
      <c r="E111" s="344"/>
      <c r="F111" s="344"/>
      <c r="G111" s="344"/>
      <c r="H111" s="344"/>
      <c r="I111" s="344"/>
      <c r="J111" s="344"/>
      <c r="K111" s="344"/>
      <c r="L111" s="344"/>
      <c r="M111" s="120"/>
      <c r="N111" s="120"/>
    </row>
    <row r="112" spans="1:14" ht="15">
      <c r="A112" s="120"/>
      <c r="B112" s="120"/>
      <c r="C112" s="120"/>
      <c r="D112" s="120"/>
      <c r="E112" s="344"/>
      <c r="F112" s="344"/>
      <c r="G112" s="344"/>
      <c r="H112" s="344"/>
      <c r="I112" s="344"/>
      <c r="J112" s="344"/>
      <c r="K112" s="344"/>
      <c r="L112" s="344"/>
      <c r="M112" s="120"/>
      <c r="N112" s="120"/>
    </row>
    <row r="113" spans="1:14" ht="15">
      <c r="A113" s="120"/>
      <c r="B113" s="120"/>
      <c r="C113" s="120"/>
      <c r="D113" s="120"/>
      <c r="E113" s="344"/>
      <c r="F113" s="344"/>
      <c r="G113" s="344"/>
      <c r="H113" s="344"/>
      <c r="I113" s="344"/>
      <c r="J113" s="344"/>
      <c r="K113" s="344"/>
      <c r="L113" s="344"/>
      <c r="M113" s="120"/>
      <c r="N113" s="120"/>
    </row>
    <row r="114" spans="1:14" ht="15">
      <c r="A114" s="120"/>
      <c r="B114" s="120"/>
      <c r="C114" s="120"/>
      <c r="D114" s="120"/>
      <c r="E114" s="344"/>
      <c r="F114" s="344"/>
      <c r="G114" s="344"/>
      <c r="H114" s="344"/>
      <c r="I114" s="344"/>
      <c r="J114" s="344"/>
      <c r="K114" s="344"/>
      <c r="L114" s="344"/>
      <c r="M114" s="120"/>
      <c r="N114" s="120"/>
    </row>
    <row r="115" spans="1:14" ht="15">
      <c r="A115" s="120"/>
      <c r="B115" s="120"/>
      <c r="C115" s="120"/>
      <c r="D115" s="120"/>
      <c r="E115" s="344"/>
      <c r="F115" s="344"/>
      <c r="G115" s="344"/>
      <c r="H115" s="344"/>
      <c r="I115" s="344"/>
      <c r="J115" s="344"/>
      <c r="K115" s="344"/>
      <c r="L115" s="344"/>
      <c r="M115" s="120"/>
      <c r="N115" s="120"/>
    </row>
    <row r="116" spans="1:14" ht="15">
      <c r="A116" s="120"/>
      <c r="B116" s="120"/>
      <c r="C116" s="120"/>
      <c r="K116" s="344"/>
      <c r="L116" s="344"/>
      <c r="M116" s="120"/>
      <c r="N116" s="120"/>
    </row>
    <row r="117" spans="1:14" ht="15">
      <c r="A117" s="120"/>
      <c r="B117" s="120"/>
      <c r="C117" s="120"/>
      <c r="K117" s="344"/>
      <c r="L117" s="344"/>
      <c r="M117" s="120"/>
      <c r="N117" s="120"/>
    </row>
    <row r="118" spans="1:14" ht="15">
      <c r="A118" s="120"/>
      <c r="B118" s="120"/>
      <c r="C118" s="120"/>
      <c r="K118" s="344"/>
      <c r="L118" s="344"/>
      <c r="M118" s="120"/>
      <c r="N118" s="120"/>
    </row>
    <row r="119" spans="1:14" ht="15">
      <c r="A119" s="120"/>
      <c r="B119" s="120"/>
      <c r="C119" s="120"/>
      <c r="K119" s="344"/>
      <c r="L119" s="344"/>
      <c r="M119" s="120"/>
      <c r="N119" s="120"/>
    </row>
    <row r="120" spans="1:14" ht="15">
      <c r="A120" s="120"/>
      <c r="B120" s="120"/>
      <c r="C120" s="120"/>
      <c r="K120" s="344"/>
      <c r="L120" s="344"/>
      <c r="M120" s="120"/>
      <c r="N120" s="120"/>
    </row>
    <row r="121" spans="1:14" ht="15">
      <c r="A121" s="120"/>
      <c r="B121" s="120"/>
      <c r="C121" s="120"/>
      <c r="K121" s="344"/>
      <c r="L121" s="344"/>
      <c r="M121" s="120"/>
      <c r="N121" s="120"/>
    </row>
    <row r="122" spans="1:14" ht="15">
      <c r="A122" s="120"/>
      <c r="B122" s="120"/>
      <c r="C122" s="120"/>
      <c r="K122" s="344"/>
      <c r="L122" s="344"/>
      <c r="M122" s="120"/>
      <c r="N122" s="120"/>
    </row>
    <row r="123" spans="1:14" ht="15">
      <c r="A123" s="120"/>
      <c r="B123" s="120"/>
      <c r="C123" s="120"/>
      <c r="K123" s="344"/>
      <c r="L123" s="344"/>
      <c r="M123" s="120"/>
      <c r="N123" s="120"/>
    </row>
    <row r="124" spans="1:14" ht="15">
      <c r="A124" s="120"/>
      <c r="B124" s="120"/>
      <c r="C124" s="120"/>
      <c r="K124" s="344"/>
      <c r="L124" s="344"/>
      <c r="M124" s="120"/>
      <c r="N124" s="120"/>
    </row>
    <row r="125" spans="2:13" ht="15">
      <c r="B125" s="120"/>
      <c r="C125" s="120"/>
      <c r="M125" s="120"/>
    </row>
  </sheetData>
  <sheetProtection/>
  <mergeCells count="66">
    <mergeCell ref="I35:J35"/>
    <mergeCell ref="F34:G35"/>
    <mergeCell ref="F38:G39"/>
    <mergeCell ref="I38:J38"/>
    <mergeCell ref="F14:G14"/>
    <mergeCell ref="F15:G15"/>
    <mergeCell ref="G21:K21"/>
    <mergeCell ref="G22:K22"/>
    <mergeCell ref="D24:K24"/>
    <mergeCell ref="F25:L28"/>
    <mergeCell ref="D3:L3"/>
    <mergeCell ref="D4:L4"/>
    <mergeCell ref="F17:G17"/>
    <mergeCell ref="F6:G6"/>
    <mergeCell ref="I6:J6"/>
    <mergeCell ref="F11:G11"/>
    <mergeCell ref="E16:E18"/>
    <mergeCell ref="E7:E9"/>
    <mergeCell ref="F7:L7"/>
    <mergeCell ref="F8:G8"/>
    <mergeCell ref="F31:G31"/>
    <mergeCell ref="I31:J31"/>
    <mergeCell ref="I32:J32"/>
    <mergeCell ref="I34:J34"/>
    <mergeCell ref="F32:G33"/>
    <mergeCell ref="I33:J33"/>
    <mergeCell ref="I37:J37"/>
    <mergeCell ref="G42:K42"/>
    <mergeCell ref="G43:K43"/>
    <mergeCell ref="F45:G45"/>
    <mergeCell ref="I45:J45"/>
    <mergeCell ref="I39:J39"/>
    <mergeCell ref="F36:G37"/>
    <mergeCell ref="I36:J36"/>
    <mergeCell ref="F46:G46"/>
    <mergeCell ref="I46:J46"/>
    <mergeCell ref="F47:G47"/>
    <mergeCell ref="I47:J47"/>
    <mergeCell ref="F48:G48"/>
    <mergeCell ref="I48:J48"/>
    <mergeCell ref="K61:L61"/>
    <mergeCell ref="K62:L62"/>
    <mergeCell ref="K63:L63"/>
    <mergeCell ref="K64:L64"/>
    <mergeCell ref="G51:K51"/>
    <mergeCell ref="G52:K52"/>
    <mergeCell ref="F56:G56"/>
    <mergeCell ref="I56:L56"/>
    <mergeCell ref="K59:L59"/>
    <mergeCell ref="K60:L60"/>
    <mergeCell ref="F16:L16"/>
    <mergeCell ref="F10:L10"/>
    <mergeCell ref="F13:L13"/>
    <mergeCell ref="E10:E12"/>
    <mergeCell ref="E13:E15"/>
    <mergeCell ref="H15:J15"/>
    <mergeCell ref="F18:G18"/>
    <mergeCell ref="F12:G12"/>
    <mergeCell ref="H8:J8"/>
    <mergeCell ref="H9:J9"/>
    <mergeCell ref="H11:J11"/>
    <mergeCell ref="H12:J12"/>
    <mergeCell ref="H14:J14"/>
    <mergeCell ref="H17:J17"/>
    <mergeCell ref="H18:J18"/>
    <mergeCell ref="F9:G9"/>
  </mergeCells>
  <conditionalFormatting sqref="F12 F14:F15">
    <cfRule type="cellIs" priority="2" dxfId="21" operator="equal">
      <formula>0</formula>
    </cfRule>
  </conditionalFormatting>
  <hyperlinks>
    <hyperlink ref="G22" r:id="rId1" display="lpicado14@yahoo.com"/>
  </hyperlinks>
  <printOptions horizontalCentered="1"/>
  <pageMargins left="0.11811023622047245" right="0.11811023622047245" top="0.15748031496062992" bottom="0.15748031496062992" header="0.31496062992125984" footer="0.31496062992125984"/>
  <pageSetup horizontalDpi="600" verticalDpi="600" orientation="landscape" paperSize="5" scale="70" r:id="rId2"/>
</worksheet>
</file>

<file path=xl/worksheets/sheet6.xml><?xml version="1.0" encoding="utf-8"?>
<worksheet xmlns="http://schemas.openxmlformats.org/spreadsheetml/2006/main" xmlns:r="http://schemas.openxmlformats.org/officeDocument/2006/relationships">
  <dimension ref="B3:S32"/>
  <sheetViews>
    <sheetView zoomScale="90" zoomScaleNormal="90" zoomScalePageLayoutView="0" workbookViewId="0" topLeftCell="A13">
      <selection activeCell="D14" sqref="D14:I14"/>
    </sheetView>
  </sheetViews>
  <sheetFormatPr defaultColWidth="11.421875" defaultRowHeight="15"/>
  <cols>
    <col min="1" max="1" width="2.421875" style="0" customWidth="1"/>
    <col min="2" max="2" width="1.8515625" style="0" customWidth="1"/>
    <col min="3" max="3" width="18.7109375" style="0" customWidth="1"/>
    <col min="4" max="4" width="20.7109375" style="390" customWidth="1"/>
    <col min="5" max="5" width="17.421875" style="390" customWidth="1"/>
    <col min="6" max="6" width="13.00390625" style="390" customWidth="1"/>
    <col min="7" max="7" width="96.8515625" style="390" customWidth="1"/>
    <col min="8" max="8" width="20.7109375" style="390" customWidth="1"/>
    <col min="9" max="9" width="6.8515625" style="0" customWidth="1"/>
    <col min="10" max="13" width="11.421875" style="0" customWidth="1"/>
    <col min="14" max="14" width="31.28125" style="0" customWidth="1"/>
  </cols>
  <sheetData>
    <row r="2" ht="15.75" thickBot="1"/>
    <row r="3" spans="2:9" ht="15.75" thickBot="1">
      <c r="B3" s="55"/>
      <c r="C3" s="56"/>
      <c r="D3" s="346"/>
      <c r="E3" s="346"/>
      <c r="F3" s="346"/>
      <c r="G3" s="346"/>
      <c r="H3" s="346"/>
      <c r="I3" s="58"/>
    </row>
    <row r="4" spans="2:9" ht="21" thickBot="1">
      <c r="B4" s="111"/>
      <c r="C4" s="450" t="s">
        <v>276</v>
      </c>
      <c r="D4" s="693"/>
      <c r="E4" s="693"/>
      <c r="F4" s="693"/>
      <c r="G4" s="693"/>
      <c r="H4" s="694"/>
      <c r="I4" s="113"/>
    </row>
    <row r="5" spans="2:9" ht="15">
      <c r="B5" s="59"/>
      <c r="C5" s="695" t="s">
        <v>277</v>
      </c>
      <c r="D5" s="695"/>
      <c r="E5" s="695"/>
      <c r="F5" s="695"/>
      <c r="G5" s="695"/>
      <c r="H5" s="695"/>
      <c r="I5" s="60"/>
    </row>
    <row r="6" spans="2:9" ht="15">
      <c r="B6" s="59"/>
      <c r="C6" s="696"/>
      <c r="D6" s="696"/>
      <c r="E6" s="696"/>
      <c r="F6" s="696"/>
      <c r="G6" s="696"/>
      <c r="H6" s="696"/>
      <c r="I6" s="60"/>
    </row>
    <row r="7" spans="2:9" ht="30.75" customHeight="1" thickBot="1">
      <c r="B7" s="59"/>
      <c r="C7" s="699" t="s">
        <v>278</v>
      </c>
      <c r="D7" s="699"/>
      <c r="E7" s="77"/>
      <c r="F7" s="77"/>
      <c r="G7" s="77"/>
      <c r="H7" s="77"/>
      <c r="I7" s="60"/>
    </row>
    <row r="8" spans="2:9" ht="30" customHeight="1" thickBot="1">
      <c r="B8" s="59"/>
      <c r="C8" s="133" t="s">
        <v>275</v>
      </c>
      <c r="D8" s="697" t="s">
        <v>274</v>
      </c>
      <c r="E8" s="698"/>
      <c r="F8" s="391" t="s">
        <v>269</v>
      </c>
      <c r="G8" s="392" t="s">
        <v>322</v>
      </c>
      <c r="H8" s="391" t="s">
        <v>334</v>
      </c>
      <c r="I8" s="60"/>
    </row>
    <row r="9" spans="2:9" ht="63.75" customHeight="1" thickBot="1">
      <c r="B9" s="64"/>
      <c r="C9" s="700" t="s">
        <v>525</v>
      </c>
      <c r="D9" s="626" t="s">
        <v>492</v>
      </c>
      <c r="E9" s="627"/>
      <c r="F9" s="393">
        <v>400</v>
      </c>
      <c r="G9" s="394" t="s">
        <v>498</v>
      </c>
      <c r="H9" s="393">
        <v>1005</v>
      </c>
      <c r="I9" s="65"/>
    </row>
    <row r="10" spans="2:9" ht="49.5" customHeight="1" thickBot="1">
      <c r="B10" s="64"/>
      <c r="C10" s="701"/>
      <c r="D10" s="685" t="s">
        <v>493</v>
      </c>
      <c r="E10" s="686"/>
      <c r="F10" s="395">
        <v>0</v>
      </c>
      <c r="G10" s="396" t="s">
        <v>499</v>
      </c>
      <c r="H10" s="395">
        <v>7120</v>
      </c>
      <c r="I10" s="65"/>
    </row>
    <row r="11" spans="2:9" ht="27" customHeight="1" thickBot="1">
      <c r="B11" s="64"/>
      <c r="C11" s="335" t="s">
        <v>530</v>
      </c>
      <c r="D11" s="655" t="s">
        <v>580</v>
      </c>
      <c r="E11" s="656"/>
      <c r="F11" s="656"/>
      <c r="G11" s="656"/>
      <c r="H11" s="656"/>
      <c r="I11" s="657"/>
    </row>
    <row r="12" spans="2:14" ht="101.25" customHeight="1" thickBot="1">
      <c r="B12" s="64"/>
      <c r="C12" s="326"/>
      <c r="D12" s="683" t="s">
        <v>494</v>
      </c>
      <c r="E12" s="684"/>
      <c r="F12" s="393">
        <v>0</v>
      </c>
      <c r="G12" s="338" t="s">
        <v>613</v>
      </c>
      <c r="H12" s="397">
        <v>0.9</v>
      </c>
      <c r="I12" s="65"/>
      <c r="J12" s="681"/>
      <c r="K12" s="682"/>
      <c r="L12" s="682"/>
      <c r="M12" s="682"/>
      <c r="N12" s="682"/>
    </row>
    <row r="13" spans="2:10" ht="91.5" customHeight="1" thickBot="1">
      <c r="B13" s="64"/>
      <c r="C13" s="326"/>
      <c r="D13" s="685" t="s">
        <v>495</v>
      </c>
      <c r="E13" s="686"/>
      <c r="F13" s="395" t="s">
        <v>348</v>
      </c>
      <c r="G13" s="337" t="s">
        <v>614</v>
      </c>
      <c r="H13" s="395" t="s">
        <v>605</v>
      </c>
      <c r="I13" s="65"/>
      <c r="J13" s="189"/>
    </row>
    <row r="14" spans="2:10" ht="32.25" customHeight="1" thickBot="1">
      <c r="B14" s="64"/>
      <c r="C14" s="335" t="s">
        <v>529</v>
      </c>
      <c r="D14" s="610" t="s">
        <v>581</v>
      </c>
      <c r="E14" s="610"/>
      <c r="F14" s="610"/>
      <c r="G14" s="610"/>
      <c r="H14" s="610"/>
      <c r="I14" s="611"/>
      <c r="J14" s="189"/>
    </row>
    <row r="15" spans="2:9" ht="69" customHeight="1" thickBot="1">
      <c r="B15" s="64"/>
      <c r="C15" s="326"/>
      <c r="D15" s="646" t="s">
        <v>496</v>
      </c>
      <c r="E15" s="647"/>
      <c r="F15" s="397">
        <v>0.05</v>
      </c>
      <c r="G15" s="338" t="s">
        <v>615</v>
      </c>
      <c r="H15" s="397">
        <v>0.9</v>
      </c>
      <c r="I15" s="65"/>
    </row>
    <row r="16" spans="2:9" ht="195" customHeight="1" thickBot="1">
      <c r="B16" s="64"/>
      <c r="C16" s="326"/>
      <c r="D16" s="626" t="s">
        <v>497</v>
      </c>
      <c r="E16" s="627"/>
      <c r="F16" s="398">
        <v>0</v>
      </c>
      <c r="G16" s="355" t="s">
        <v>528</v>
      </c>
      <c r="H16" s="398">
        <v>880</v>
      </c>
      <c r="I16" s="65"/>
    </row>
    <row r="17" spans="2:9" ht="92.25" customHeight="1" thickBot="1">
      <c r="B17" s="64"/>
      <c r="C17" s="326"/>
      <c r="D17" s="626" t="s">
        <v>538</v>
      </c>
      <c r="E17" s="627"/>
      <c r="F17" s="399">
        <v>0.05</v>
      </c>
      <c r="G17" s="355" t="s">
        <v>616</v>
      </c>
      <c r="H17" s="399">
        <v>0.8</v>
      </c>
      <c r="I17" s="65"/>
    </row>
    <row r="18" spans="2:19" s="319" customFormat="1" ht="126.75" customHeight="1" thickBot="1">
      <c r="B18" s="324"/>
      <c r="C18" s="326"/>
      <c r="D18" s="626" t="s">
        <v>539</v>
      </c>
      <c r="E18" s="627"/>
      <c r="F18" s="398">
        <v>0</v>
      </c>
      <c r="G18" s="364" t="s">
        <v>540</v>
      </c>
      <c r="H18" s="398" t="s">
        <v>541</v>
      </c>
      <c r="I18" s="325"/>
      <c r="J18" s="322"/>
      <c r="K18" s="322"/>
      <c r="L18" s="322"/>
      <c r="M18" s="322"/>
      <c r="N18" s="322"/>
      <c r="O18" s="322"/>
      <c r="P18" s="322"/>
      <c r="Q18" s="322"/>
      <c r="R18" s="322"/>
      <c r="S18" s="322"/>
    </row>
    <row r="19" spans="2:19" ht="84" customHeight="1" thickBot="1">
      <c r="B19" s="320"/>
      <c r="C19" s="326"/>
      <c r="D19" s="635" t="s">
        <v>500</v>
      </c>
      <c r="E19" s="636"/>
      <c r="F19" s="399">
        <v>0.25</v>
      </c>
      <c r="G19" s="364" t="s">
        <v>603</v>
      </c>
      <c r="H19" s="399" t="s">
        <v>583</v>
      </c>
      <c r="I19" s="321"/>
      <c r="J19" s="319"/>
      <c r="K19" s="319"/>
      <c r="L19" s="319"/>
      <c r="M19" s="319"/>
      <c r="N19" s="319"/>
      <c r="O19" s="319"/>
      <c r="P19" s="319"/>
      <c r="Q19" s="319"/>
      <c r="R19" s="319"/>
      <c r="S19" s="319"/>
    </row>
    <row r="20" spans="2:19" ht="72.75" customHeight="1" thickBot="1">
      <c r="B20" s="64"/>
      <c r="C20" s="326"/>
      <c r="D20" s="687" t="s">
        <v>501</v>
      </c>
      <c r="E20" s="688"/>
      <c r="F20" s="395">
        <v>0</v>
      </c>
      <c r="G20" s="337" t="s">
        <v>582</v>
      </c>
      <c r="H20" s="395" t="s">
        <v>584</v>
      </c>
      <c r="I20" s="65"/>
      <c r="J20" s="192"/>
      <c r="K20" s="193"/>
      <c r="L20" s="193"/>
      <c r="M20" s="193"/>
      <c r="N20" s="193"/>
      <c r="O20" s="194"/>
      <c r="P20" s="193"/>
      <c r="Q20" s="193"/>
      <c r="R20" s="193"/>
      <c r="S20" s="193"/>
    </row>
    <row r="21" spans="2:19" ht="28.5" customHeight="1" thickBot="1">
      <c r="B21" s="64"/>
      <c r="C21" s="335" t="s">
        <v>531</v>
      </c>
      <c r="D21" s="610" t="s">
        <v>585</v>
      </c>
      <c r="E21" s="610"/>
      <c r="F21" s="610"/>
      <c r="G21" s="610"/>
      <c r="H21" s="610"/>
      <c r="I21" s="611"/>
      <c r="J21" s="315"/>
      <c r="K21" s="316"/>
      <c r="L21" s="316"/>
      <c r="M21" s="316"/>
      <c r="N21" s="316"/>
      <c r="O21" s="194"/>
      <c r="P21" s="316"/>
      <c r="Q21" s="316"/>
      <c r="R21" s="316"/>
      <c r="S21" s="316"/>
    </row>
    <row r="22" spans="2:15" ht="72" customHeight="1" thickBot="1">
      <c r="B22" s="64"/>
      <c r="C22" s="326"/>
      <c r="D22" s="683" t="s">
        <v>502</v>
      </c>
      <c r="E22" s="684"/>
      <c r="F22" s="393">
        <v>0</v>
      </c>
      <c r="G22" s="338" t="s">
        <v>617</v>
      </c>
      <c r="H22" s="393">
        <v>1</v>
      </c>
      <c r="I22" s="65"/>
      <c r="J22" s="691"/>
      <c r="K22" s="692"/>
      <c r="L22" s="692"/>
      <c r="M22" s="692"/>
      <c r="N22" s="692"/>
      <c r="O22" s="188"/>
    </row>
    <row r="23" spans="2:14" ht="75" customHeight="1" thickBot="1">
      <c r="B23" s="64"/>
      <c r="C23" s="326"/>
      <c r="D23" s="679" t="s">
        <v>620</v>
      </c>
      <c r="E23" s="680"/>
      <c r="F23" s="395">
        <v>0</v>
      </c>
      <c r="G23" s="337" t="s">
        <v>586</v>
      </c>
      <c r="H23" s="395">
        <v>9</v>
      </c>
      <c r="I23" s="65"/>
      <c r="J23" s="691"/>
      <c r="K23" s="692"/>
      <c r="L23" s="692"/>
      <c r="M23" s="692"/>
      <c r="N23" s="692"/>
    </row>
    <row r="24" spans="2:14" ht="30.75" customHeight="1" thickBot="1">
      <c r="B24" s="64"/>
      <c r="C24" s="335" t="s">
        <v>532</v>
      </c>
      <c r="D24" s="610" t="s">
        <v>619</v>
      </c>
      <c r="E24" s="610"/>
      <c r="F24" s="610"/>
      <c r="G24" s="610"/>
      <c r="H24" s="610"/>
      <c r="I24" s="611"/>
      <c r="J24" s="194"/>
      <c r="K24" s="316"/>
      <c r="L24" s="316"/>
      <c r="M24" s="316"/>
      <c r="N24" s="316"/>
    </row>
    <row r="25" spans="2:14" ht="113.25" customHeight="1" thickBot="1">
      <c r="B25" s="64"/>
      <c r="C25" s="326"/>
      <c r="D25" s="689" t="s">
        <v>503</v>
      </c>
      <c r="E25" s="690"/>
      <c r="F25" s="393">
        <v>0</v>
      </c>
      <c r="G25" s="338" t="s">
        <v>618</v>
      </c>
      <c r="H25" s="393">
        <v>1</v>
      </c>
      <c r="I25" s="65"/>
      <c r="K25" s="190"/>
      <c r="L25" s="190"/>
      <c r="M25" s="190"/>
      <c r="N25" s="190"/>
    </row>
    <row r="26" spans="2:9" ht="75.75" customHeight="1" thickBot="1">
      <c r="B26" s="64"/>
      <c r="C26" s="334"/>
      <c r="D26" s="679" t="s">
        <v>504</v>
      </c>
      <c r="E26" s="680"/>
      <c r="F26" s="398">
        <v>0</v>
      </c>
      <c r="G26" s="355" t="s">
        <v>587</v>
      </c>
      <c r="H26" s="355" t="s">
        <v>517</v>
      </c>
      <c r="I26" s="65"/>
    </row>
    <row r="27" spans="2:9" ht="15">
      <c r="B27" s="128"/>
      <c r="C27" s="126"/>
      <c r="D27" s="400"/>
      <c r="E27" s="400"/>
      <c r="F27" s="400"/>
      <c r="G27" s="400"/>
      <c r="H27" s="400"/>
      <c r="I27" s="129"/>
    </row>
    <row r="28" spans="2:9" ht="15">
      <c r="B28" s="128"/>
      <c r="C28" s="126"/>
      <c r="D28" s="400"/>
      <c r="E28" s="400"/>
      <c r="F28" s="400"/>
      <c r="G28" s="400"/>
      <c r="H28" s="400"/>
      <c r="I28" s="129"/>
    </row>
    <row r="29" spans="2:9" ht="15">
      <c r="B29" s="128"/>
      <c r="C29" s="126"/>
      <c r="D29" s="400"/>
      <c r="E29" s="400"/>
      <c r="F29" s="400"/>
      <c r="G29" s="400"/>
      <c r="H29" s="400"/>
      <c r="I29" s="129"/>
    </row>
    <row r="30" spans="2:9" ht="15">
      <c r="B30" s="128"/>
      <c r="C30" s="126"/>
      <c r="D30" s="400"/>
      <c r="E30" s="400"/>
      <c r="F30" s="400"/>
      <c r="G30" s="400"/>
      <c r="H30" s="400"/>
      <c r="I30" s="129"/>
    </row>
    <row r="31" spans="2:9" ht="15">
      <c r="B31" s="128"/>
      <c r="C31" s="126"/>
      <c r="D31" s="400"/>
      <c r="E31" s="400"/>
      <c r="F31" s="400"/>
      <c r="G31" s="400"/>
      <c r="H31" s="400"/>
      <c r="I31" s="129"/>
    </row>
    <row r="32" spans="2:9" ht="15.75" thickBot="1">
      <c r="B32" s="130"/>
      <c r="C32" s="131"/>
      <c r="D32" s="401"/>
      <c r="E32" s="401"/>
      <c r="F32" s="401"/>
      <c r="G32" s="401"/>
      <c r="H32" s="401"/>
      <c r="I32" s="132"/>
    </row>
  </sheetData>
  <sheetProtection/>
  <mergeCells count="27">
    <mergeCell ref="D18:E18"/>
    <mergeCell ref="D11:I11"/>
    <mergeCell ref="D14:I14"/>
    <mergeCell ref="D21:I21"/>
    <mergeCell ref="C7:D7"/>
    <mergeCell ref="C9:C10"/>
    <mergeCell ref="D10:E10"/>
    <mergeCell ref="J23:N23"/>
    <mergeCell ref="J22:N22"/>
    <mergeCell ref="D16:E16"/>
    <mergeCell ref="D22:E22"/>
    <mergeCell ref="D23:E23"/>
    <mergeCell ref="C4:H4"/>
    <mergeCell ref="C5:H5"/>
    <mergeCell ref="C6:H6"/>
    <mergeCell ref="D8:E8"/>
    <mergeCell ref="D9:E9"/>
    <mergeCell ref="D24:I24"/>
    <mergeCell ref="D26:E26"/>
    <mergeCell ref="J12:N12"/>
    <mergeCell ref="D12:E12"/>
    <mergeCell ref="D13:E13"/>
    <mergeCell ref="D17:E17"/>
    <mergeCell ref="D20:E20"/>
    <mergeCell ref="D25:E25"/>
    <mergeCell ref="D15:E15"/>
    <mergeCell ref="D19:E19"/>
  </mergeCells>
  <printOptions horizontalCentered="1"/>
  <pageMargins left="0.31496062992125984" right="0.31496062992125984" top="0.5511811023622047" bottom="0.5511811023622047" header="0.31496062992125984" footer="0.31496062992125984"/>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dimension ref="B1:E34"/>
  <sheetViews>
    <sheetView zoomScalePageLayoutView="0" workbookViewId="0" topLeftCell="B1">
      <selection activeCell="D1" sqref="D1:D16384"/>
    </sheetView>
  </sheetViews>
  <sheetFormatPr defaultColWidth="11.421875" defaultRowHeight="15"/>
  <cols>
    <col min="1" max="2" width="11.421875" style="0" customWidth="1"/>
    <col min="3" max="3" width="29.421875" style="0" customWidth="1"/>
    <col min="4" max="4" width="120.28125" style="390" customWidth="1"/>
  </cols>
  <sheetData>
    <row r="1" ht="15.75" thickBot="1">
      <c r="D1" s="390" t="s">
        <v>350</v>
      </c>
    </row>
    <row r="2" spans="2:5" ht="15.75" thickBot="1">
      <c r="B2" s="137"/>
      <c r="C2" s="85"/>
      <c r="D2" s="402"/>
      <c r="E2" s="86"/>
    </row>
    <row r="3" spans="2:5" ht="19.5" thickBot="1">
      <c r="B3" s="138"/>
      <c r="C3" s="703" t="s">
        <v>294</v>
      </c>
      <c r="D3" s="704"/>
      <c r="E3" s="139"/>
    </row>
    <row r="4" spans="2:5" ht="15">
      <c r="B4" s="138"/>
      <c r="C4" s="140"/>
      <c r="D4" s="403"/>
      <c r="E4" s="139"/>
    </row>
    <row r="5" spans="2:5" ht="15.75" thickBot="1">
      <c r="B5" s="138"/>
      <c r="C5" s="141" t="s">
        <v>295</v>
      </c>
      <c r="D5" s="403"/>
      <c r="E5" s="139"/>
    </row>
    <row r="6" spans="2:5" ht="29.25" thickBot="1">
      <c r="B6" s="138"/>
      <c r="C6" s="148" t="s">
        <v>296</v>
      </c>
      <c r="D6" s="404" t="s">
        <v>297</v>
      </c>
      <c r="E6" s="139"/>
    </row>
    <row r="7" spans="2:5" ht="254.25" customHeight="1" thickBot="1">
      <c r="B7" s="138"/>
      <c r="C7" s="142" t="s">
        <v>298</v>
      </c>
      <c r="D7" s="405" t="s">
        <v>533</v>
      </c>
      <c r="E7" s="139"/>
    </row>
    <row r="8" spans="2:5" ht="162.75" customHeight="1" thickBot="1">
      <c r="B8" s="138"/>
      <c r="C8" s="143" t="s">
        <v>332</v>
      </c>
      <c r="D8" s="406" t="s">
        <v>542</v>
      </c>
      <c r="E8" s="139"/>
    </row>
    <row r="9" spans="2:5" ht="179.25" customHeight="1" thickBot="1">
      <c r="B9" s="138"/>
      <c r="C9" s="144" t="s">
        <v>299</v>
      </c>
      <c r="D9" s="407" t="s">
        <v>543</v>
      </c>
      <c r="E9" s="139"/>
    </row>
    <row r="10" spans="2:5" ht="123" customHeight="1" thickBot="1">
      <c r="B10" s="138"/>
      <c r="C10" s="142" t="s">
        <v>323</v>
      </c>
      <c r="D10" s="405" t="s">
        <v>627</v>
      </c>
      <c r="E10" s="139"/>
    </row>
    <row r="11" spans="2:5" ht="15">
      <c r="B11" s="138"/>
      <c r="C11" s="140"/>
      <c r="D11" s="403"/>
      <c r="E11" s="139"/>
    </row>
    <row r="12" spans="2:5" ht="15.75" thickBot="1">
      <c r="B12" s="138"/>
      <c r="C12" s="705" t="s">
        <v>421</v>
      </c>
      <c r="D12" s="705"/>
      <c r="E12" s="139"/>
    </row>
    <row r="13" spans="2:5" ht="15.75" thickBot="1">
      <c r="B13" s="138"/>
      <c r="C13" s="149" t="s">
        <v>300</v>
      </c>
      <c r="D13" s="408" t="s">
        <v>297</v>
      </c>
      <c r="E13" s="139"/>
    </row>
    <row r="14" spans="2:5" ht="15.75" thickBot="1">
      <c r="B14" s="138"/>
      <c r="C14" s="706" t="s">
        <v>301</v>
      </c>
      <c r="D14" s="706"/>
      <c r="E14" s="139"/>
    </row>
    <row r="15" spans="2:5" ht="108.75" customHeight="1" thickBot="1">
      <c r="B15" s="138"/>
      <c r="C15" s="327" t="s">
        <v>302</v>
      </c>
      <c r="D15" s="409" t="s">
        <v>588</v>
      </c>
      <c r="E15" s="139"/>
    </row>
    <row r="16" spans="2:5" ht="45.75" thickBot="1">
      <c r="B16" s="138"/>
      <c r="C16" s="327" t="s">
        <v>303</v>
      </c>
      <c r="D16" s="409" t="s">
        <v>621</v>
      </c>
      <c r="E16" s="139"/>
    </row>
    <row r="17" spans="2:5" ht="30.75" thickBot="1">
      <c r="B17" s="138"/>
      <c r="C17" s="327" t="s">
        <v>304</v>
      </c>
      <c r="D17" s="409" t="s">
        <v>622</v>
      </c>
      <c r="E17" s="139"/>
    </row>
    <row r="18" spans="2:5" ht="15.75" thickBot="1">
      <c r="B18" s="138"/>
      <c r="C18" s="702" t="s">
        <v>305</v>
      </c>
      <c r="D18" s="702"/>
      <c r="E18" s="139"/>
    </row>
    <row r="19" spans="2:5" ht="300.75" thickBot="1">
      <c r="B19" s="138"/>
      <c r="C19" s="327" t="s">
        <v>306</v>
      </c>
      <c r="D19" s="409" t="s">
        <v>623</v>
      </c>
      <c r="E19" s="139"/>
    </row>
    <row r="20" spans="2:5" ht="45.75" thickBot="1">
      <c r="B20" s="138"/>
      <c r="C20" s="327" t="s">
        <v>307</v>
      </c>
      <c r="D20" s="410" t="s">
        <v>589</v>
      </c>
      <c r="E20" s="139"/>
    </row>
    <row r="21" spans="2:5" ht="60.75" thickBot="1">
      <c r="B21" s="138"/>
      <c r="C21" s="327" t="s">
        <v>308</v>
      </c>
      <c r="D21" s="327" t="s">
        <v>624</v>
      </c>
      <c r="E21" s="139"/>
    </row>
    <row r="22" spans="2:5" ht="15.75" thickBot="1">
      <c r="B22" s="138"/>
      <c r="C22" s="702" t="s">
        <v>309</v>
      </c>
      <c r="D22" s="702"/>
      <c r="E22" s="139"/>
    </row>
    <row r="23" spans="2:5" ht="45.75" thickBot="1">
      <c r="B23" s="138"/>
      <c r="C23" s="327" t="s">
        <v>310</v>
      </c>
      <c r="D23" s="411" t="s">
        <v>590</v>
      </c>
      <c r="E23" s="139"/>
    </row>
    <row r="24" spans="2:5" ht="60.75" thickBot="1">
      <c r="B24" s="138"/>
      <c r="C24" s="327" t="s">
        <v>311</v>
      </c>
      <c r="D24" s="411" t="s">
        <v>625</v>
      </c>
      <c r="E24" s="139"/>
    </row>
    <row r="25" spans="2:5" ht="45.75" thickBot="1">
      <c r="B25" s="138"/>
      <c r="C25" s="327" t="s">
        <v>312</v>
      </c>
      <c r="D25" s="411" t="s">
        <v>591</v>
      </c>
      <c r="E25" s="139"/>
    </row>
    <row r="26" spans="2:5" ht="15.75" thickBot="1">
      <c r="B26" s="138"/>
      <c r="C26" s="702" t="s">
        <v>313</v>
      </c>
      <c r="D26" s="702"/>
      <c r="E26" s="139"/>
    </row>
    <row r="27" spans="2:5" ht="135.75" thickBot="1">
      <c r="B27" s="138"/>
      <c r="C27" s="327" t="s">
        <v>314</v>
      </c>
      <c r="D27" s="412" t="s">
        <v>592</v>
      </c>
      <c r="E27" s="139"/>
    </row>
    <row r="28" spans="2:5" ht="45.75" thickBot="1">
      <c r="B28" s="138"/>
      <c r="C28" s="327" t="s">
        <v>336</v>
      </c>
      <c r="D28" s="411" t="s">
        <v>594</v>
      </c>
      <c r="E28" s="139"/>
    </row>
    <row r="29" spans="2:5" ht="120.75" thickBot="1">
      <c r="B29" s="138"/>
      <c r="C29" s="327" t="s">
        <v>315</v>
      </c>
      <c r="D29" s="411" t="s">
        <v>626</v>
      </c>
      <c r="E29" s="139"/>
    </row>
    <row r="30" spans="2:5" ht="75.75" thickBot="1">
      <c r="B30" s="138"/>
      <c r="C30" s="327" t="s">
        <v>316</v>
      </c>
      <c r="D30" s="411" t="s">
        <v>593</v>
      </c>
      <c r="E30" s="139"/>
    </row>
    <row r="31" spans="2:5" ht="225.75" thickBot="1">
      <c r="B31" s="138"/>
      <c r="C31" s="327" t="s">
        <v>324</v>
      </c>
      <c r="D31" s="412" t="s">
        <v>595</v>
      </c>
      <c r="E31" s="139"/>
    </row>
    <row r="32" spans="2:5" ht="15">
      <c r="B32" s="138"/>
      <c r="C32" s="68"/>
      <c r="D32" s="403"/>
      <c r="E32" s="139"/>
    </row>
    <row r="33" spans="2:5" ht="15">
      <c r="B33" s="138"/>
      <c r="C33" s="68"/>
      <c r="D33" s="403"/>
      <c r="E33" s="139"/>
    </row>
    <row r="34" spans="2:5" ht="15.75" thickBot="1">
      <c r="B34" s="145"/>
      <c r="C34" s="146"/>
      <c r="D34" s="413"/>
      <c r="E34" s="147"/>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AO40"/>
  <sheetViews>
    <sheetView zoomScale="90" zoomScaleNormal="90" zoomScalePageLayoutView="0" workbookViewId="0" topLeftCell="C1">
      <selection activeCell="B21" sqref="B21:M21"/>
    </sheetView>
  </sheetViews>
  <sheetFormatPr defaultColWidth="11.42187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8" max="8" width="11.421875" style="0" customWidth="1"/>
    <col min="9" max="9" width="9.140625" style="0" customWidth="1"/>
    <col min="10" max="15" width="11.421875" style="0" customWidth="1"/>
    <col min="16" max="16" width="10.00390625" style="0" customWidth="1"/>
  </cols>
  <sheetData>
    <row r="1" spans="2:8" ht="15.75" thickBot="1">
      <c r="B1" s="118"/>
      <c r="C1" s="118"/>
      <c r="D1" s="118"/>
      <c r="E1" s="118"/>
      <c r="F1" s="118"/>
      <c r="G1" s="118"/>
      <c r="H1" s="118"/>
    </row>
    <row r="2" spans="2:13" ht="15" customHeight="1" thickBot="1">
      <c r="B2" s="115"/>
      <c r="C2" s="721"/>
      <c r="D2" s="721"/>
      <c r="E2" s="721"/>
      <c r="F2" s="721"/>
      <c r="G2" s="721"/>
      <c r="H2" s="109"/>
      <c r="I2" s="109"/>
      <c r="J2" s="109"/>
      <c r="K2" s="109"/>
      <c r="L2" s="109"/>
      <c r="M2" s="110"/>
    </row>
    <row r="3" spans="2:13" ht="27" thickBot="1">
      <c r="B3" s="116"/>
      <c r="C3" s="731" t="s">
        <v>251</v>
      </c>
      <c r="D3" s="732"/>
      <c r="E3" s="732"/>
      <c r="F3" s="733"/>
      <c r="G3" s="117"/>
      <c r="H3" s="112"/>
      <c r="I3" s="112"/>
      <c r="J3" s="112"/>
      <c r="K3" s="112"/>
      <c r="L3" s="112"/>
      <c r="M3" s="114"/>
    </row>
    <row r="4" spans="2:13" ht="15" customHeight="1">
      <c r="B4" s="116"/>
      <c r="C4" s="117"/>
      <c r="D4" s="117"/>
      <c r="E4" s="117"/>
      <c r="F4" s="117"/>
      <c r="G4" s="117"/>
      <c r="H4" s="112"/>
      <c r="I4" s="112"/>
      <c r="J4" s="112"/>
      <c r="K4" s="112"/>
      <c r="L4" s="112"/>
      <c r="M4" s="114"/>
    </row>
    <row r="5" spans="2:13" ht="15.75" customHeight="1">
      <c r="B5" s="111"/>
      <c r="C5" s="112"/>
      <c r="D5" s="112"/>
      <c r="E5" s="112"/>
      <c r="F5" s="112"/>
      <c r="G5" s="112"/>
      <c r="H5" s="112"/>
      <c r="I5" s="112"/>
      <c r="J5" s="112"/>
      <c r="K5" s="112"/>
      <c r="L5" s="112"/>
      <c r="M5" s="114"/>
    </row>
    <row r="6" spans="2:13" ht="15.75" customHeight="1" thickBot="1">
      <c r="B6" s="111"/>
      <c r="C6" s="112"/>
      <c r="D6" s="112"/>
      <c r="E6" s="112"/>
      <c r="F6" s="112"/>
      <c r="G6" s="112"/>
      <c r="H6" s="112"/>
      <c r="I6" s="112"/>
      <c r="J6" s="112"/>
      <c r="K6" s="112"/>
      <c r="L6" s="112"/>
      <c r="M6" s="114"/>
    </row>
    <row r="7" spans="2:13" ht="15.75" customHeight="1">
      <c r="B7" s="722" t="s">
        <v>252</v>
      </c>
      <c r="C7" s="723"/>
      <c r="D7" s="723"/>
      <c r="E7" s="723"/>
      <c r="F7" s="723"/>
      <c r="G7" s="723"/>
      <c r="H7" s="723"/>
      <c r="I7" s="723"/>
      <c r="J7" s="723"/>
      <c r="K7" s="723"/>
      <c r="L7" s="723"/>
      <c r="M7" s="724"/>
    </row>
    <row r="8" spans="2:13" ht="15.75" customHeight="1" thickBot="1">
      <c r="B8" s="725"/>
      <c r="C8" s="726"/>
      <c r="D8" s="726"/>
      <c r="E8" s="726"/>
      <c r="F8" s="726"/>
      <c r="G8" s="726"/>
      <c r="H8" s="726"/>
      <c r="I8" s="726"/>
      <c r="J8" s="726"/>
      <c r="K8" s="726"/>
      <c r="L8" s="726"/>
      <c r="M8" s="727"/>
    </row>
    <row r="9" spans="2:13" ht="15.75" customHeight="1">
      <c r="B9" s="722" t="s">
        <v>286</v>
      </c>
      <c r="C9" s="723"/>
      <c r="D9" s="723"/>
      <c r="E9" s="723"/>
      <c r="F9" s="723"/>
      <c r="G9" s="723"/>
      <c r="H9" s="723"/>
      <c r="I9" s="723"/>
      <c r="J9" s="723"/>
      <c r="K9" s="723"/>
      <c r="L9" s="723"/>
      <c r="M9" s="724"/>
    </row>
    <row r="10" spans="2:13" ht="15.75" customHeight="1" thickBot="1">
      <c r="B10" s="728" t="s">
        <v>253</v>
      </c>
      <c r="C10" s="729"/>
      <c r="D10" s="729"/>
      <c r="E10" s="729"/>
      <c r="F10" s="729"/>
      <c r="G10" s="729"/>
      <c r="H10" s="729"/>
      <c r="I10" s="729"/>
      <c r="J10" s="729"/>
      <c r="K10" s="729"/>
      <c r="L10" s="729"/>
      <c r="M10" s="730"/>
    </row>
    <row r="11" spans="2:13" ht="15.75" customHeight="1" thickBot="1">
      <c r="B11" s="51"/>
      <c r="C11" s="51"/>
      <c r="D11" s="51"/>
      <c r="E11" s="51"/>
      <c r="F11" s="51"/>
      <c r="G11" s="51"/>
      <c r="H11" s="51"/>
      <c r="I11" s="51"/>
      <c r="J11" s="51"/>
      <c r="K11" s="51"/>
      <c r="L11" s="51"/>
      <c r="M11" s="51"/>
    </row>
    <row r="12" spans="2:13" ht="30" customHeight="1" thickBot="1">
      <c r="B12" s="734" t="s">
        <v>273</v>
      </c>
      <c r="C12" s="735"/>
      <c r="D12" s="736"/>
      <c r="E12" s="51"/>
      <c r="F12" s="51"/>
      <c r="G12" s="51"/>
      <c r="H12" s="13"/>
      <c r="I12" s="13"/>
      <c r="J12" s="13"/>
      <c r="K12" s="13"/>
      <c r="L12" s="13"/>
      <c r="M12" s="13"/>
    </row>
    <row r="13" spans="2:13" ht="8.25" customHeight="1" thickBot="1">
      <c r="B13" s="51"/>
      <c r="C13" s="51"/>
      <c r="D13" s="51"/>
      <c r="E13" s="51"/>
      <c r="F13" s="51"/>
      <c r="G13" s="51"/>
      <c r="H13" s="13"/>
      <c r="I13" s="13"/>
      <c r="J13" s="13"/>
      <c r="K13" s="13"/>
      <c r="L13" s="13"/>
      <c r="M13" s="13"/>
    </row>
    <row r="14" spans="2:13" ht="19.5" thickBot="1">
      <c r="B14" s="716" t="s">
        <v>254</v>
      </c>
      <c r="C14" s="717"/>
      <c r="D14" s="717"/>
      <c r="E14" s="717"/>
      <c r="F14" s="717"/>
      <c r="G14" s="717"/>
      <c r="H14" s="717"/>
      <c r="I14" s="717"/>
      <c r="J14" s="717"/>
      <c r="K14" s="717"/>
      <c r="L14" s="717"/>
      <c r="M14" s="718"/>
    </row>
    <row r="15" spans="2:16" s="38" customFormat="1" ht="72.75" customHeight="1" thickBot="1">
      <c r="B15" s="119" t="s">
        <v>255</v>
      </c>
      <c r="C15" s="135" t="s">
        <v>256</v>
      </c>
      <c r="D15" s="42" t="s">
        <v>257</v>
      </c>
      <c r="E15" s="42" t="s">
        <v>256</v>
      </c>
      <c r="F15" s="707" t="s">
        <v>258</v>
      </c>
      <c r="G15" s="708"/>
      <c r="H15" s="707" t="s">
        <v>259</v>
      </c>
      <c r="I15" s="708"/>
      <c r="J15" s="707" t="s">
        <v>260</v>
      </c>
      <c r="K15" s="708"/>
      <c r="L15" s="707" t="s">
        <v>287</v>
      </c>
      <c r="M15" s="708"/>
      <c r="P15" s="121"/>
    </row>
    <row r="16" spans="2:41" ht="348.75" customHeight="1" thickBot="1">
      <c r="B16" s="39" t="s">
        <v>261</v>
      </c>
      <c r="C16" s="41">
        <v>6</v>
      </c>
      <c r="D16" s="36" t="s">
        <v>262</v>
      </c>
      <c r="E16" s="41">
        <v>6.1</v>
      </c>
      <c r="F16" s="712" t="s">
        <v>490</v>
      </c>
      <c r="G16" s="713"/>
      <c r="H16" s="712" t="s">
        <v>447</v>
      </c>
      <c r="I16" s="713"/>
      <c r="J16" s="712" t="s">
        <v>568</v>
      </c>
      <c r="K16" s="713"/>
      <c r="L16" s="712"/>
      <c r="M16" s="713"/>
      <c r="N16" s="9"/>
      <c r="O16" s="9"/>
      <c r="P16" s="124"/>
      <c r="Q16" s="9"/>
      <c r="R16" s="9"/>
      <c r="S16" s="9"/>
      <c r="T16" s="9"/>
      <c r="U16" s="9"/>
      <c r="V16" s="9"/>
      <c r="W16" s="9"/>
      <c r="X16" s="9"/>
      <c r="Y16" s="9"/>
      <c r="Z16" s="9"/>
      <c r="AA16" s="9"/>
      <c r="AB16" s="9"/>
      <c r="AC16" s="9"/>
      <c r="AD16" s="9"/>
      <c r="AE16" s="9"/>
      <c r="AF16" s="9"/>
      <c r="AG16" s="9"/>
      <c r="AH16" s="9"/>
      <c r="AI16" s="9"/>
      <c r="AJ16" s="118"/>
      <c r="AK16" s="118"/>
      <c r="AL16" s="118"/>
      <c r="AM16" s="118"/>
      <c r="AN16" s="118"/>
      <c r="AO16" s="118"/>
    </row>
    <row r="17" spans="2:41" s="13" customFormat="1" ht="9.75" customHeight="1" thickBot="1">
      <c r="B17" s="44"/>
      <c r="C17" s="44"/>
      <c r="D17" s="44"/>
      <c r="E17" s="44"/>
      <c r="F17" s="709"/>
      <c r="G17" s="710"/>
      <c r="H17" s="710"/>
      <c r="I17" s="710"/>
      <c r="J17" s="710"/>
      <c r="K17" s="710"/>
      <c r="L17" s="710"/>
      <c r="M17" s="710"/>
      <c r="N17" s="9"/>
      <c r="O17" s="9"/>
      <c r="P17" s="9"/>
      <c r="Q17" s="9"/>
      <c r="R17" s="9"/>
      <c r="S17" s="9"/>
      <c r="T17" s="9"/>
      <c r="U17" s="9"/>
      <c r="V17" s="9"/>
      <c r="W17" s="9"/>
      <c r="X17" s="9"/>
      <c r="Y17" s="9"/>
      <c r="Z17" s="9"/>
      <c r="AA17" s="9"/>
      <c r="AB17" s="9"/>
      <c r="AC17" s="9"/>
      <c r="AD17" s="9"/>
      <c r="AE17" s="9"/>
      <c r="AF17" s="9"/>
      <c r="AG17" s="9"/>
      <c r="AH17" s="9"/>
      <c r="AI17" s="9"/>
      <c r="AJ17" s="122"/>
      <c r="AK17" s="122"/>
      <c r="AL17" s="122"/>
      <c r="AM17" s="122"/>
      <c r="AN17" s="122"/>
      <c r="AO17" s="122"/>
    </row>
    <row r="18" spans="2:41" s="38" customFormat="1" ht="63.75" customHeight="1" thickBot="1">
      <c r="B18" s="119" t="s">
        <v>263</v>
      </c>
      <c r="C18" s="135" t="s">
        <v>256</v>
      </c>
      <c r="D18" s="42" t="s">
        <v>264</v>
      </c>
      <c r="E18" s="135" t="s">
        <v>256</v>
      </c>
      <c r="F18" s="707" t="s">
        <v>258</v>
      </c>
      <c r="G18" s="708"/>
      <c r="H18" s="707" t="s">
        <v>259</v>
      </c>
      <c r="I18" s="708"/>
      <c r="J18" s="707" t="s">
        <v>260</v>
      </c>
      <c r="K18" s="708"/>
      <c r="L18" s="707" t="s">
        <v>287</v>
      </c>
      <c r="M18" s="708"/>
      <c r="N18" s="125"/>
      <c r="O18" s="125"/>
      <c r="P18" s="124"/>
      <c r="Q18" s="125"/>
      <c r="R18" s="125"/>
      <c r="S18" s="125"/>
      <c r="T18" s="125"/>
      <c r="U18" s="125"/>
      <c r="V18" s="125"/>
      <c r="W18" s="125"/>
      <c r="X18" s="125"/>
      <c r="Y18" s="125"/>
      <c r="Z18" s="125"/>
      <c r="AA18" s="125"/>
      <c r="AB18" s="125"/>
      <c r="AC18" s="125"/>
      <c r="AD18" s="125"/>
      <c r="AE18" s="125"/>
      <c r="AF18" s="125"/>
      <c r="AG18" s="125"/>
      <c r="AH18" s="125"/>
      <c r="AI18" s="125"/>
      <c r="AJ18" s="123"/>
      <c r="AK18" s="123"/>
      <c r="AL18" s="123"/>
      <c r="AM18" s="123"/>
      <c r="AN18" s="123"/>
      <c r="AO18" s="123"/>
    </row>
    <row r="19" spans="2:41" ht="409.5" customHeight="1" thickBot="1">
      <c r="B19" s="40" t="s">
        <v>265</v>
      </c>
      <c r="C19" s="43"/>
      <c r="D19" s="37" t="s">
        <v>266</v>
      </c>
      <c r="E19" s="43"/>
      <c r="F19" s="714"/>
      <c r="G19" s="715"/>
      <c r="H19" s="714"/>
      <c r="I19" s="715"/>
      <c r="J19" s="714"/>
      <c r="K19" s="715"/>
      <c r="L19" s="714"/>
      <c r="M19" s="715"/>
      <c r="N19" s="9"/>
      <c r="O19" s="9"/>
      <c r="P19" s="124"/>
      <c r="Q19" s="9"/>
      <c r="R19" s="9"/>
      <c r="S19" s="9"/>
      <c r="T19" s="9"/>
      <c r="U19" s="9"/>
      <c r="V19" s="9"/>
      <c r="W19" s="9"/>
      <c r="X19" s="9"/>
      <c r="Y19" s="9"/>
      <c r="Z19" s="9"/>
      <c r="AA19" s="9"/>
      <c r="AB19" s="9"/>
      <c r="AC19" s="9"/>
      <c r="AD19" s="9"/>
      <c r="AE19" s="9"/>
      <c r="AF19" s="9"/>
      <c r="AG19" s="9"/>
      <c r="AH19" s="9"/>
      <c r="AI19" s="9"/>
      <c r="AJ19" s="118"/>
      <c r="AK19" s="118"/>
      <c r="AL19" s="118"/>
      <c r="AM19" s="118"/>
      <c r="AN19" s="118"/>
      <c r="AO19" s="118"/>
    </row>
    <row r="20" spans="14:41" ht="15.75" thickBot="1">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2:41" ht="19.5" thickBot="1">
      <c r="B21" s="716" t="s">
        <v>267</v>
      </c>
      <c r="C21" s="717"/>
      <c r="D21" s="717"/>
      <c r="E21" s="717"/>
      <c r="F21" s="717"/>
      <c r="G21" s="717"/>
      <c r="H21" s="717"/>
      <c r="I21" s="717"/>
      <c r="J21" s="717"/>
      <c r="K21" s="717"/>
      <c r="L21" s="717"/>
      <c r="M21" s="717"/>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row>
    <row r="22" spans="2:41" s="38" customFormat="1" ht="48" thickBot="1">
      <c r="B22" s="42" t="s">
        <v>255</v>
      </c>
      <c r="C22" s="135" t="s">
        <v>256</v>
      </c>
      <c r="D22" s="42" t="s">
        <v>257</v>
      </c>
      <c r="E22" s="135" t="s">
        <v>256</v>
      </c>
      <c r="F22" s="707" t="s">
        <v>268</v>
      </c>
      <c r="G22" s="708"/>
      <c r="H22" s="707" t="s">
        <v>269</v>
      </c>
      <c r="I22" s="708"/>
      <c r="J22" s="707" t="s">
        <v>260</v>
      </c>
      <c r="K22" s="708"/>
      <c r="L22" s="707" t="s">
        <v>287</v>
      </c>
      <c r="M22" s="719"/>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row>
    <row r="23" spans="2:13" ht="342" customHeight="1" thickBot="1">
      <c r="B23" s="39" t="s">
        <v>261</v>
      </c>
      <c r="C23" s="41">
        <v>6</v>
      </c>
      <c r="D23" s="36" t="s">
        <v>262</v>
      </c>
      <c r="E23" s="41">
        <v>6.1</v>
      </c>
      <c r="F23" s="712" t="s">
        <v>469</v>
      </c>
      <c r="G23" s="713"/>
      <c r="H23" s="712" t="s">
        <v>491</v>
      </c>
      <c r="I23" s="713"/>
      <c r="J23" s="720">
        <v>0.91</v>
      </c>
      <c r="K23" s="713"/>
      <c r="L23" s="712"/>
      <c r="M23" s="713"/>
    </row>
    <row r="24" spans="2:13" s="13" customFormat="1" ht="9.75" customHeight="1" thickBot="1">
      <c r="B24" s="44"/>
      <c r="C24" s="44"/>
      <c r="D24" s="44"/>
      <c r="E24" s="44"/>
      <c r="F24" s="709"/>
      <c r="G24" s="710"/>
      <c r="H24" s="710"/>
      <c r="I24" s="710"/>
      <c r="J24" s="710"/>
      <c r="K24" s="710"/>
      <c r="L24" s="710"/>
      <c r="M24" s="711"/>
    </row>
    <row r="25" spans="2:13" s="38" customFormat="1" ht="48" thickBot="1">
      <c r="B25" s="42" t="s">
        <v>263</v>
      </c>
      <c r="C25" s="135" t="s">
        <v>256</v>
      </c>
      <c r="D25" s="42" t="s">
        <v>264</v>
      </c>
      <c r="E25" s="135" t="s">
        <v>256</v>
      </c>
      <c r="F25" s="707" t="s">
        <v>268</v>
      </c>
      <c r="G25" s="708"/>
      <c r="H25" s="707" t="s">
        <v>269</v>
      </c>
      <c r="I25" s="708"/>
      <c r="J25" s="707" t="s">
        <v>260</v>
      </c>
      <c r="K25" s="708"/>
      <c r="L25" s="707" t="s">
        <v>287</v>
      </c>
      <c r="M25" s="708"/>
    </row>
    <row r="26" spans="2:13" ht="409.5" customHeight="1" thickBot="1">
      <c r="B26" s="40" t="s">
        <v>265</v>
      </c>
      <c r="C26" s="43"/>
      <c r="D26" s="40" t="s">
        <v>266</v>
      </c>
      <c r="E26" s="43"/>
      <c r="F26" s="712"/>
      <c r="G26" s="713"/>
      <c r="H26" s="712"/>
      <c r="I26" s="713"/>
      <c r="J26" s="712"/>
      <c r="K26" s="713"/>
      <c r="L26" s="712"/>
      <c r="M26" s="713"/>
    </row>
    <row r="27" ht="15.75" thickBot="1"/>
    <row r="28" spans="2:13" ht="19.5" thickBot="1">
      <c r="B28" s="716" t="s">
        <v>270</v>
      </c>
      <c r="C28" s="717"/>
      <c r="D28" s="717"/>
      <c r="E28" s="717"/>
      <c r="F28" s="717"/>
      <c r="G28" s="717"/>
      <c r="H28" s="717"/>
      <c r="I28" s="717"/>
      <c r="J28" s="717"/>
      <c r="K28" s="717"/>
      <c r="L28" s="717"/>
      <c r="M28" s="718"/>
    </row>
    <row r="29" spans="2:13" s="38" customFormat="1" ht="48" thickBot="1">
      <c r="B29" s="42" t="s">
        <v>255</v>
      </c>
      <c r="C29" s="135" t="s">
        <v>256</v>
      </c>
      <c r="D29" s="42" t="s">
        <v>257</v>
      </c>
      <c r="E29" s="135" t="s">
        <v>256</v>
      </c>
      <c r="F29" s="707" t="s">
        <v>268</v>
      </c>
      <c r="G29" s="708"/>
      <c r="H29" s="707" t="s">
        <v>269</v>
      </c>
      <c r="I29" s="708"/>
      <c r="J29" s="707" t="s">
        <v>260</v>
      </c>
      <c r="K29" s="708"/>
      <c r="L29" s="707" t="s">
        <v>287</v>
      </c>
      <c r="M29" s="708"/>
    </row>
    <row r="30" spans="2:13" ht="349.5" customHeight="1" thickBot="1">
      <c r="B30" s="39" t="s">
        <v>261</v>
      </c>
      <c r="C30" s="41">
        <v>7</v>
      </c>
      <c r="D30" s="36" t="s">
        <v>424</v>
      </c>
      <c r="E30" s="43">
        <v>7.1</v>
      </c>
      <c r="F30" s="712" t="s">
        <v>448</v>
      </c>
      <c r="G30" s="713"/>
      <c r="H30" s="712" t="s">
        <v>470</v>
      </c>
      <c r="I30" s="713"/>
      <c r="J30" s="712" t="s">
        <v>544</v>
      </c>
      <c r="K30" s="713"/>
      <c r="L30" s="712"/>
      <c r="M30" s="713"/>
    </row>
    <row r="31" spans="2:13" s="13" customFormat="1" ht="9.75" customHeight="1" thickBot="1">
      <c r="B31" s="44"/>
      <c r="C31" s="44"/>
      <c r="D31" s="44"/>
      <c r="E31" s="44"/>
      <c r="F31" s="709"/>
      <c r="G31" s="710"/>
      <c r="H31" s="710"/>
      <c r="I31" s="710"/>
      <c r="J31" s="710"/>
      <c r="K31" s="710"/>
      <c r="L31" s="710"/>
      <c r="M31" s="711"/>
    </row>
    <row r="32" spans="2:13" s="38" customFormat="1" ht="48" thickBot="1">
      <c r="B32" s="50" t="s">
        <v>263</v>
      </c>
      <c r="C32" s="135" t="s">
        <v>256</v>
      </c>
      <c r="D32" s="50" t="s">
        <v>264</v>
      </c>
      <c r="E32" s="135" t="s">
        <v>256</v>
      </c>
      <c r="F32" s="707" t="s">
        <v>268</v>
      </c>
      <c r="G32" s="708"/>
      <c r="H32" s="707" t="s">
        <v>269</v>
      </c>
      <c r="I32" s="708"/>
      <c r="J32" s="707" t="s">
        <v>260</v>
      </c>
      <c r="K32" s="708"/>
      <c r="L32" s="707" t="s">
        <v>287</v>
      </c>
      <c r="M32" s="708"/>
    </row>
    <row r="33" spans="2:13" ht="409.5" customHeight="1" thickBot="1">
      <c r="B33" s="40" t="s">
        <v>265</v>
      </c>
      <c r="C33" s="43"/>
      <c r="D33" s="37" t="s">
        <v>266</v>
      </c>
      <c r="E33" s="43"/>
      <c r="F33" s="714"/>
      <c r="G33" s="715"/>
      <c r="H33" s="714"/>
      <c r="I33" s="715"/>
      <c r="J33" s="714"/>
      <c r="K33" s="715"/>
      <c r="L33" s="714"/>
      <c r="M33" s="715"/>
    </row>
    <row r="34" spans="2:15" s="13" customFormat="1" ht="16.5" thickBot="1">
      <c r="B34" s="45"/>
      <c r="C34" s="45"/>
      <c r="D34" s="46"/>
      <c r="E34" s="47"/>
      <c r="F34" s="46"/>
      <c r="G34" s="48"/>
      <c r="H34" s="49"/>
      <c r="I34" s="49"/>
      <c r="J34" s="49"/>
      <c r="K34" s="49"/>
      <c r="L34" s="49"/>
      <c r="M34" s="49"/>
      <c r="N34" s="49"/>
      <c r="O34" s="49"/>
    </row>
    <row r="35" spans="2:13" ht="19.5" thickBot="1">
      <c r="B35" s="716" t="s">
        <v>271</v>
      </c>
      <c r="C35" s="717"/>
      <c r="D35" s="717"/>
      <c r="E35" s="717"/>
      <c r="F35" s="717"/>
      <c r="G35" s="717"/>
      <c r="H35" s="717"/>
      <c r="I35" s="717"/>
      <c r="J35" s="717"/>
      <c r="K35" s="717"/>
      <c r="L35" s="717"/>
      <c r="M35" s="718"/>
    </row>
    <row r="36" spans="2:13" s="38" customFormat="1" ht="48" thickBot="1">
      <c r="B36" s="42" t="s">
        <v>255</v>
      </c>
      <c r="C36" s="135" t="s">
        <v>256</v>
      </c>
      <c r="D36" s="42" t="s">
        <v>257</v>
      </c>
      <c r="E36" s="135" t="s">
        <v>256</v>
      </c>
      <c r="F36" s="707" t="s">
        <v>268</v>
      </c>
      <c r="G36" s="708"/>
      <c r="H36" s="707" t="s">
        <v>269</v>
      </c>
      <c r="I36" s="708"/>
      <c r="J36" s="707" t="s">
        <v>260</v>
      </c>
      <c r="K36" s="708"/>
      <c r="L36" s="707" t="s">
        <v>287</v>
      </c>
      <c r="M36" s="708"/>
    </row>
    <row r="37" spans="2:13" ht="345.75" customHeight="1" thickBot="1">
      <c r="B37" s="39" t="s">
        <v>261</v>
      </c>
      <c r="C37" s="41">
        <v>1</v>
      </c>
      <c r="D37" s="36" t="s">
        <v>262</v>
      </c>
      <c r="E37" s="41">
        <v>1</v>
      </c>
      <c r="F37" s="712" t="s">
        <v>471</v>
      </c>
      <c r="G37" s="713"/>
      <c r="H37" s="712" t="s">
        <v>472</v>
      </c>
      <c r="I37" s="713"/>
      <c r="J37" s="712" t="s">
        <v>545</v>
      </c>
      <c r="K37" s="713"/>
      <c r="L37" s="712"/>
      <c r="M37" s="713"/>
    </row>
    <row r="38" spans="2:13" s="13" customFormat="1" ht="9.75" customHeight="1" thickBot="1">
      <c r="B38" s="44"/>
      <c r="C38" s="44"/>
      <c r="D38" s="44"/>
      <c r="E38" s="44"/>
      <c r="F38" s="709"/>
      <c r="G38" s="710"/>
      <c r="H38" s="710"/>
      <c r="I38" s="710"/>
      <c r="J38" s="710"/>
      <c r="K38" s="710"/>
      <c r="L38" s="710"/>
      <c r="M38" s="711"/>
    </row>
    <row r="39" spans="2:13" s="38" customFormat="1" ht="48" thickBot="1">
      <c r="B39" s="42" t="s">
        <v>263</v>
      </c>
      <c r="C39" s="135" t="s">
        <v>256</v>
      </c>
      <c r="D39" s="42" t="s">
        <v>264</v>
      </c>
      <c r="E39" s="135" t="s">
        <v>256</v>
      </c>
      <c r="F39" s="707" t="s">
        <v>268</v>
      </c>
      <c r="G39" s="708"/>
      <c r="H39" s="707" t="s">
        <v>269</v>
      </c>
      <c r="I39" s="708"/>
      <c r="J39" s="707" t="s">
        <v>260</v>
      </c>
      <c r="K39" s="708"/>
      <c r="L39" s="707" t="s">
        <v>287</v>
      </c>
      <c r="M39" s="708"/>
    </row>
    <row r="40" spans="2:13" ht="409.5" customHeight="1" thickBot="1">
      <c r="B40" s="40" t="s">
        <v>265</v>
      </c>
      <c r="C40" s="43"/>
      <c r="D40" s="37" t="s">
        <v>266</v>
      </c>
      <c r="E40" s="43"/>
      <c r="F40" s="714"/>
      <c r="G40" s="715"/>
      <c r="H40" s="714"/>
      <c r="I40" s="715"/>
      <c r="J40" s="714"/>
      <c r="K40" s="715"/>
      <c r="L40" s="714"/>
      <c r="M40" s="715"/>
    </row>
  </sheetData>
  <sheetProtection/>
  <mergeCells count="78">
    <mergeCell ref="F19:G19"/>
    <mergeCell ref="H19:I19"/>
    <mergeCell ref="J19:K19"/>
    <mergeCell ref="L19:M19"/>
    <mergeCell ref="L15:M15"/>
    <mergeCell ref="F16:G16"/>
    <mergeCell ref="H16:I16"/>
    <mergeCell ref="J16:K16"/>
    <mergeCell ref="L16:M16"/>
    <mergeCell ref="F17:M17"/>
    <mergeCell ref="F18:G18"/>
    <mergeCell ref="H18:I18"/>
    <mergeCell ref="J18:K18"/>
    <mergeCell ref="L18:M18"/>
    <mergeCell ref="B12:D12"/>
    <mergeCell ref="F15:G15"/>
    <mergeCell ref="C2:G2"/>
    <mergeCell ref="H15:I15"/>
    <mergeCell ref="J15:K15"/>
    <mergeCell ref="B7:M8"/>
    <mergeCell ref="B9:M9"/>
    <mergeCell ref="B10:M10"/>
    <mergeCell ref="C3:F3"/>
    <mergeCell ref="B14:M14"/>
    <mergeCell ref="H26:I26"/>
    <mergeCell ref="J26:K26"/>
    <mergeCell ref="L26:M26"/>
    <mergeCell ref="F22:G22"/>
    <mergeCell ref="H22:I22"/>
    <mergeCell ref="J22:K22"/>
    <mergeCell ref="L22:M22"/>
    <mergeCell ref="F23:G23"/>
    <mergeCell ref="H23:I23"/>
    <mergeCell ref="J23:K23"/>
    <mergeCell ref="L23:M23"/>
    <mergeCell ref="H30:I30"/>
    <mergeCell ref="J30:K30"/>
    <mergeCell ref="L30:M30"/>
    <mergeCell ref="B21:M21"/>
    <mergeCell ref="F24:M24"/>
    <mergeCell ref="F25:G25"/>
    <mergeCell ref="H25:I25"/>
    <mergeCell ref="J25:K25"/>
    <mergeCell ref="L25:M25"/>
    <mergeCell ref="B28:M28"/>
    <mergeCell ref="F29:G29"/>
    <mergeCell ref="H29:I29"/>
    <mergeCell ref="J29:K29"/>
    <mergeCell ref="L29:M29"/>
    <mergeCell ref="F30:G30"/>
    <mergeCell ref="F26:G26"/>
    <mergeCell ref="F39:G39"/>
    <mergeCell ref="H39:I39"/>
    <mergeCell ref="J39:K39"/>
    <mergeCell ref="L39:M39"/>
    <mergeCell ref="J32:K32"/>
    <mergeCell ref="L32:M32"/>
    <mergeCell ref="F33:G33"/>
    <mergeCell ref="H33:I33"/>
    <mergeCell ref="J33:K33"/>
    <mergeCell ref="J37:K37"/>
    <mergeCell ref="L33:M33"/>
    <mergeCell ref="B35:M35"/>
    <mergeCell ref="F40:G40"/>
    <mergeCell ref="H40:I40"/>
    <mergeCell ref="J40:K40"/>
    <mergeCell ref="L40:M40"/>
    <mergeCell ref="L37:M37"/>
    <mergeCell ref="H32:I32"/>
    <mergeCell ref="F31:M31"/>
    <mergeCell ref="F32:G32"/>
    <mergeCell ref="F38:M38"/>
    <mergeCell ref="F36:G36"/>
    <mergeCell ref="H36:I36"/>
    <mergeCell ref="J36:K36"/>
    <mergeCell ref="L36:M36"/>
    <mergeCell ref="F37:G37"/>
    <mergeCell ref="H37:I37"/>
  </mergeCells>
  <dataValidations count="4">
    <dataValidation type="list" allowBlank="1" showInputMessage="1" showErrorMessage="1" sqref="E37 E23 E16">
      <formula1>"1,2.1,2.2,3.1,3.2,4.1,4.2,5,6.1,6.2,7"</formula1>
    </dataValidation>
    <dataValidation type="list" allowBlank="1" showInputMessage="1" showErrorMessage="1" sqref="E40 E33 E19 F34 E26 E30">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B1">
      <selection activeCell="B3" sqref="B3"/>
    </sheetView>
  </sheetViews>
  <sheetFormatPr defaultColWidth="11.421875" defaultRowHeight="15"/>
  <cols>
    <col min="1" max="1" width="11.421875" style="0" customWidth="1"/>
    <col min="2" max="2" width="109.28125" style="0" customWidth="1"/>
  </cols>
  <sheetData>
    <row r="1" ht="16.5" thickBot="1">
      <c r="B1" s="52" t="s">
        <v>247</v>
      </c>
    </row>
    <row r="2" ht="298.5" customHeight="1" thickBot="1">
      <c r="B2" s="53" t="s">
        <v>248</v>
      </c>
    </row>
    <row r="3" ht="16.5" thickBot="1">
      <c r="B3" s="52" t="s">
        <v>249</v>
      </c>
    </row>
    <row r="4" ht="243" thickBot="1">
      <c r="B4" s="54" t="s">
        <v>250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2015-02-24T22:10:01Z</cp:lastPrinted>
  <dcterms:created xsi:type="dcterms:W3CDTF">2010-11-30T14:15:01Z</dcterms:created>
  <dcterms:modified xsi:type="dcterms:W3CDTF">2015-05-05T12:45:06Z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64</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http://wbdocsservices.worldbank.org/services?I4_SERVICE=VC&amp;I4_KEY=TF069012&amp;I4_DOCID=090224b085c0015c</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http://pubdocs.worldbank.org/en/584531532123440806/64-4448-Nicaragua-AF-PPR-2014-submission-18March2015rev-no-procurement.xls</vt:lpwstr>
  </property>
  <property fmtid="{D5CDD505-2E9C-101B-9397-08002B2CF9AE}" pid="18" name="ApproverUPI_WBDocs">
    <vt:lpwstr>000384891</vt:lpwstr>
  </property>
  <property fmtid="{D5CDD505-2E9C-101B-9397-08002B2CF9AE}" pid="19" name="DocumentType_WBDocs">
    <vt:lpwstr>Project Status Report</vt:lpwstr>
  </property>
</Properties>
</file>